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Тит.лист" sheetId="1" r:id="rId1"/>
    <sheet name="7-а класс" sheetId="2" r:id="rId2"/>
    <sheet name="7-б класс" sheetId="3" r:id="rId3"/>
    <sheet name="9-а класс" sheetId="4" r:id="rId4"/>
    <sheet name="9-б класс" sheetId="5" r:id="rId5"/>
  </sheets>
  <definedNames>
    <definedName name="_xlfn.COUNTIFS" hidden="1">#NAME?</definedName>
    <definedName name="Дефицит_массы" localSheetId="1">#REF!</definedName>
  </definedNames>
  <calcPr fullCalcOnLoad="1"/>
</workbook>
</file>

<file path=xl/sharedStrings.xml><?xml version="1.0" encoding="utf-8"?>
<sst xmlns="http://schemas.openxmlformats.org/spreadsheetml/2006/main" count="755" uniqueCount="175">
  <si>
    <t>Карта тестирования показателей здоровья</t>
  </si>
  <si>
    <t>Образовательное учреждение:</t>
  </si>
  <si>
    <t>МОУ Асаковская сош</t>
  </si>
  <si>
    <t>Район:</t>
  </si>
  <si>
    <t>Одинцовский</t>
  </si>
  <si>
    <t>Директор (Ф.И.О.):</t>
  </si>
  <si>
    <t>Нездорова Г.В.</t>
  </si>
  <si>
    <t>Ответственные за тестирование:</t>
  </si>
  <si>
    <t>Учитель физической культуры:</t>
  </si>
  <si>
    <t>Морозов В.П.</t>
  </si>
  <si>
    <t>Медицинский работник:</t>
  </si>
  <si>
    <t>Учитель информатики:</t>
  </si>
  <si>
    <t>Класс</t>
  </si>
  <si>
    <t>Классный руководитель</t>
  </si>
  <si>
    <t>Учитель физической культуры</t>
  </si>
  <si>
    <t>7-б</t>
  </si>
  <si>
    <t>Каширина Т. А.</t>
  </si>
  <si>
    <t>9-а</t>
  </si>
  <si>
    <t>Бухарова Т.В.</t>
  </si>
  <si>
    <t>7-а</t>
  </si>
  <si>
    <t>Карта тестирования показателей здоровья школьников</t>
  </si>
  <si>
    <t>Одинцовский район МОУ Асаковская средняя общеобразовательная школа (октябрь - ноябрь 2008 г.)</t>
  </si>
  <si>
    <t>Общая часть</t>
  </si>
  <si>
    <t>Возраст</t>
  </si>
  <si>
    <t>Физическое развитие</t>
  </si>
  <si>
    <t>Ф.И.О.</t>
  </si>
  <si>
    <t>Функциональная подготовленность</t>
  </si>
  <si>
    <t>Физическая подготовленность</t>
  </si>
  <si>
    <t>№ п/п</t>
  </si>
  <si>
    <t>Литера</t>
  </si>
  <si>
    <t>Пол</t>
  </si>
  <si>
    <t>Дата рождения</t>
  </si>
  <si>
    <t>Рост (см)</t>
  </si>
  <si>
    <t>Масса тела (кг)</t>
  </si>
  <si>
    <t>Окружность грудной клетки (см)</t>
  </si>
  <si>
    <t>Сила кисти</t>
  </si>
  <si>
    <t>ЖЕЛ (л)</t>
  </si>
  <si>
    <t>Арт.   Давл. (мм.рт.ст.)</t>
  </si>
  <si>
    <t>Задержка дыхания (сек.)</t>
  </si>
  <si>
    <t>ЧСС (уд./мин.)</t>
  </si>
  <si>
    <t>Гибкость (+ - см)</t>
  </si>
  <si>
    <t>Прыжки</t>
  </si>
  <si>
    <t>Силовые</t>
  </si>
  <si>
    <t>Бег</t>
  </si>
  <si>
    <t>На вдохе</t>
  </si>
  <si>
    <t>В покое</t>
  </si>
  <si>
    <t>На выдохе</t>
  </si>
  <si>
    <t>Правая</t>
  </si>
  <si>
    <t>Левая</t>
  </si>
  <si>
    <t>Max СД</t>
  </si>
  <si>
    <t>Min ДД</t>
  </si>
  <si>
    <t>В покое лежа</t>
  </si>
  <si>
    <t>В покое стоя</t>
  </si>
  <si>
    <t>После нагр. 30 присед. За 30 сек.</t>
  </si>
  <si>
    <t>После 1 мин. Востан.</t>
  </si>
  <si>
    <t>Прыжки в длину с места (см.)</t>
  </si>
  <si>
    <t>Прыжки через скакалку за 1 мин. (раз)</t>
  </si>
  <si>
    <t>Отжиман от пола (раз)</t>
  </si>
  <si>
    <t>Подтягив. (раз)</t>
  </si>
  <si>
    <t>Бег 30 м. (сек.)</t>
  </si>
  <si>
    <t>Хиврич Сергей</t>
  </si>
  <si>
    <t>а</t>
  </si>
  <si>
    <t>м</t>
  </si>
  <si>
    <t>Зюкин Алеша</t>
  </si>
  <si>
    <t>Овчинников Витя</t>
  </si>
  <si>
    <t>Сесь Федя</t>
  </si>
  <si>
    <t>Бондар Саша</t>
  </si>
  <si>
    <t>Черемина Кристина</t>
  </si>
  <si>
    <t>д</t>
  </si>
  <si>
    <t>Брюханова Настя</t>
  </si>
  <si>
    <t>Уварова Лиза</t>
  </si>
  <si>
    <t>Борисова Валя</t>
  </si>
  <si>
    <t>Разумцева Тася</t>
  </si>
  <si>
    <t>осв.</t>
  </si>
  <si>
    <t>Бакурина Алина</t>
  </si>
  <si>
    <t>Одинцовский район МОУ Асаковская средняя общеобразовательная школа (октябрь  2008 г.)</t>
  </si>
  <si>
    <t>Отжимание от пола (раз)</t>
  </si>
  <si>
    <t>Дичану Женя</t>
  </si>
  <si>
    <t>б</t>
  </si>
  <si>
    <t>Абдухалил Коля</t>
  </si>
  <si>
    <t>Пантелеев Виктор</t>
  </si>
  <si>
    <t>Пылин Данила</t>
  </si>
  <si>
    <t>Харьковский Миша</t>
  </si>
  <si>
    <t>Порожняк Максим</t>
  </si>
  <si>
    <t>Гузеев Саша</t>
  </si>
  <si>
    <t>Чашин Алеша</t>
  </si>
  <si>
    <t>Юрковецкий Валера</t>
  </si>
  <si>
    <t>Пономарев Алексей</t>
  </si>
  <si>
    <t>Латышев Дима</t>
  </si>
  <si>
    <t>Коноплева Таня</t>
  </si>
  <si>
    <t>Мартыненкова Света</t>
  </si>
  <si>
    <t>Бардина Лена</t>
  </si>
  <si>
    <t>Федоренко Марина</t>
  </si>
  <si>
    <t>Кузьменькова Аня</t>
  </si>
  <si>
    <t>Чупревич Инга</t>
  </si>
  <si>
    <t>Крисанова Настя</t>
  </si>
  <si>
    <t>Сергутина Вероника</t>
  </si>
  <si>
    <t>Белых Марина</t>
  </si>
  <si>
    <t>Рогачева Аня</t>
  </si>
  <si>
    <t>Фомин Эдик</t>
  </si>
  <si>
    <t>Гусев Артем</t>
  </si>
  <si>
    <t>Буданов Максим</t>
  </si>
  <si>
    <t>Ефименков Ярослав</t>
  </si>
  <si>
    <t>Варлаков Артем</t>
  </si>
  <si>
    <t>Курандин Виктор</t>
  </si>
  <si>
    <t>Сесь Тихон</t>
  </si>
  <si>
    <t>Булаев Максим</t>
  </si>
  <si>
    <t>Дедов Саша</t>
  </si>
  <si>
    <t>Романович Максим</t>
  </si>
  <si>
    <t>Никишин Яша</t>
  </si>
  <si>
    <t>Коваленко Владик</t>
  </si>
  <si>
    <t>Данилова Лена</t>
  </si>
  <si>
    <t>Жапалэу Алина</t>
  </si>
  <si>
    <t>Дорохова Аля</t>
  </si>
  <si>
    <t>Михалева Ксения</t>
  </si>
  <si>
    <t>Патунина Даша</t>
  </si>
  <si>
    <t>Грачева Оля</t>
  </si>
  <si>
    <t>Кесарева Вика</t>
  </si>
  <si>
    <t>Медведева Ира</t>
  </si>
  <si>
    <t>Шалыгина</t>
  </si>
  <si>
    <t>Гетьман Ира</t>
  </si>
  <si>
    <t>После 1 мин. востан.</t>
  </si>
  <si>
    <t>Чупревич Слава</t>
  </si>
  <si>
    <t>Солметов Рустам</t>
  </si>
  <si>
    <t>Туров Рома</t>
  </si>
  <si>
    <t>Комаров Леша</t>
  </si>
  <si>
    <t>Ковалев Витя</t>
  </si>
  <si>
    <t>Пилипенко Карина</t>
  </si>
  <si>
    <t>Карпачева Юля</t>
  </si>
  <si>
    <t>Екимова Кристина</t>
  </si>
  <si>
    <t>Терникова Вера</t>
  </si>
  <si>
    <t>Межлумян Армине</t>
  </si>
  <si>
    <t>Подъем туловища за 1 мин. (раз)</t>
  </si>
  <si>
    <t>Бег 1500 м. (мин. сек.)</t>
  </si>
  <si>
    <t>Бег 2000 м. (мин. сек.)</t>
  </si>
  <si>
    <t>Тип физического развития</t>
  </si>
  <si>
    <t>Количество  уч-ся</t>
  </si>
  <si>
    <t>%</t>
  </si>
  <si>
    <t>Деф.массы</t>
  </si>
  <si>
    <t>Гарм.(-)</t>
  </si>
  <si>
    <t>Гармонич.</t>
  </si>
  <si>
    <t>Гарм.(+)</t>
  </si>
  <si>
    <t>Тучное</t>
  </si>
  <si>
    <t>Проворова И.П.</t>
  </si>
  <si>
    <t>Колейчук Е.А.</t>
  </si>
  <si>
    <t>9-б</t>
  </si>
  <si>
    <t>Гапархоева Н.М.</t>
  </si>
  <si>
    <t>Мальчики</t>
  </si>
  <si>
    <t>Девочки</t>
  </si>
  <si>
    <t>Оценки</t>
  </si>
  <si>
    <t>7 класс</t>
  </si>
  <si>
    <t>Нормативы</t>
  </si>
  <si>
    <t>отлично</t>
  </si>
  <si>
    <t>хорошо</t>
  </si>
  <si>
    <t>удовл.</t>
  </si>
  <si>
    <t>неуд.</t>
  </si>
  <si>
    <t>7-а класс         11 человек</t>
  </si>
  <si>
    <t>9-а класс             22 человека</t>
  </si>
  <si>
    <t>9-б класс                10 человек</t>
  </si>
  <si>
    <t>7-а класс  %</t>
  </si>
  <si>
    <t>7-б класс               21 человек</t>
  </si>
  <si>
    <t>7-б класс  %</t>
  </si>
  <si>
    <t>9-а класс  %</t>
  </si>
  <si>
    <t>9-б класс  %</t>
  </si>
  <si>
    <t>Физическая подготовлен.    7-а класса</t>
  </si>
  <si>
    <t>Физическая подготовлен.        7-б класса</t>
  </si>
  <si>
    <t>Физическая подготовлен.        9-а  класса</t>
  </si>
  <si>
    <t>Шапов.</t>
  </si>
  <si>
    <t>Робинс.</t>
  </si>
  <si>
    <t xml:space="preserve">Тестирование проводилось в четырех классах: 7-а и 7-б классах, 9-а и 9-б  классах. Причина выбора этих двух параллельных классов: 7-а и 9-б классы являются классами компенсирующего обучения (ККО), поэтому мне было интересно проследить разницу развития между классами ККО и обычными классами. </t>
  </si>
  <si>
    <t>Кетле</t>
  </si>
  <si>
    <t>ИГМР</t>
  </si>
  <si>
    <t>15.73</t>
  </si>
  <si>
    <t>19.56</t>
  </si>
  <si>
    <t>112.64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</si>
</sst>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4"/>
      <color indexed="10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MS Sans Serif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11"/>
      <name val="Tahoma"/>
      <family val="2"/>
    </font>
    <font>
      <b/>
      <sz val="10"/>
      <color indexed="12"/>
      <name val="Tahoma"/>
      <family val="2"/>
    </font>
    <font>
      <b/>
      <sz val="10"/>
      <color indexed="13"/>
      <name val="Tahoma"/>
      <family val="2"/>
    </font>
    <font>
      <sz val="24"/>
      <color indexed="8"/>
      <name val="Tahoma"/>
      <family val="2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right" vertical="top"/>
    </xf>
    <xf numFmtId="14" fontId="2" fillId="0" borderId="10" xfId="0" applyNumberFormat="1" applyFont="1" applyBorder="1" applyAlignment="1">
      <alignment vertical="top"/>
    </xf>
    <xf numFmtId="14" fontId="2" fillId="0" borderId="11" xfId="0" applyNumberFormat="1" applyFont="1" applyBorder="1" applyAlignment="1">
      <alignment vertical="top"/>
    </xf>
    <xf numFmtId="14" fontId="2" fillId="0" borderId="12" xfId="0" applyNumberFormat="1" applyFont="1" applyBorder="1" applyAlignment="1">
      <alignment vertical="top"/>
    </xf>
    <xf numFmtId="14" fontId="2" fillId="0" borderId="13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4" borderId="0" xfId="52" applyFill="1">
      <alignment/>
      <protection/>
    </xf>
    <xf numFmtId="0" fontId="0" fillId="0" borderId="0" xfId="52">
      <alignment/>
      <protection/>
    </xf>
    <xf numFmtId="0" fontId="0" fillId="0" borderId="10" xfId="52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36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14" fontId="2" fillId="0" borderId="13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10" fillId="34" borderId="0" xfId="52" applyFont="1" applyFill="1" applyAlignment="1">
      <alignment horizontal="center"/>
      <protection/>
    </xf>
    <xf numFmtId="0" fontId="52" fillId="0" borderId="11" xfId="52" applyFont="1" applyBorder="1" applyAlignment="1">
      <alignment horizontal="center" vertical="center"/>
      <protection/>
    </xf>
    <xf numFmtId="0" fontId="52" fillId="0" borderId="22" xfId="52" applyFont="1" applyBorder="1" applyAlignment="1">
      <alignment horizontal="center" vertical="center"/>
      <protection/>
    </xf>
    <xf numFmtId="0" fontId="52" fillId="0" borderId="13" xfId="52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6" borderId="2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Тип физического развития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2525"/>
          <c:w val="0.834"/>
          <c:h val="0.6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33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Дефицит массы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36%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Гармоничное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55%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Тучное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'7-а класс'!$D$25:$D$29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Физическая подготовленность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30"/>
      <c:hPercent val="34"/>
      <c:rotY val="30"/>
      <c:depthPercent val="100"/>
      <c:rAngAx val="1"/>
    </c:view3D>
    <c:plotArea>
      <c:layout>
        <c:manualLayout>
          <c:xMode val="edge"/>
          <c:yMode val="edge"/>
          <c:x val="0.0125"/>
          <c:y val="0.25225"/>
          <c:w val="0.9735"/>
          <c:h val="0.71725"/>
        </c:manualLayout>
      </c:layout>
      <c:bar3DChart>
        <c:barDir val="col"/>
        <c:grouping val="clustered"/>
        <c:varyColors val="0"/>
        <c:ser>
          <c:idx val="0"/>
          <c:order val="0"/>
          <c:tx>
            <c:v>Отлично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'7-а класс'!$Y$31:$AF$31</c:f>
              <c:numCache/>
            </c:numRef>
          </c:val>
          <c:shape val="cylinder"/>
        </c:ser>
        <c:ser>
          <c:idx val="1"/>
          <c:order val="1"/>
          <c:tx>
            <c:v>Хорошо</c:v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'7-а класс'!$Y$32:$AF$32</c:f>
              <c:numCache/>
            </c:numRef>
          </c:val>
          <c:shape val="cylinder"/>
        </c:ser>
        <c:ser>
          <c:idx val="2"/>
          <c:order val="2"/>
          <c:tx>
            <c:v>Удовлетворительно</c:v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'7-а класс'!$Y$33:$AF$33</c:f>
              <c:numCache/>
            </c:numRef>
          </c:val>
          <c:shape val="cylinder"/>
        </c:ser>
        <c:ser>
          <c:idx val="3"/>
          <c:order val="3"/>
          <c:tx>
            <c:v>Неудовлетворительно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'7-а класс'!$Y$34:$AF$34</c:f>
              <c:numCache/>
            </c:numRef>
          </c:val>
          <c:shape val="cylinder"/>
        </c:ser>
        <c:shape val="cylinder"/>
        <c:axId val="1569998"/>
        <c:axId val="14129983"/>
      </c:bar3DChart>
      <c:catAx>
        <c:axId val="1569998"/>
        <c:scaling>
          <c:orientation val="minMax"/>
        </c:scaling>
        <c:axPos val="b"/>
        <c:delete val="1"/>
        <c:majorTickMark val="out"/>
        <c:minorTickMark val="none"/>
        <c:tickLblPos val="nextTo"/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</c:scaling>
        <c:axPos val="l"/>
        <c:delete val="1"/>
        <c:majorTickMark val="out"/>
        <c:minorTickMark val="none"/>
        <c:tickLblPos val="nextTo"/>
        <c:crossAx val="15699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4"/>
          <c:y val="0.12675"/>
          <c:w val="0.847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Тип физического развития 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4"/>
          <c:w val="0.82925"/>
          <c:h val="0.66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Дефицит массы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Гармоничное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62%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Тучное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'7-б класс'!$D$34:$D$38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Физическая подготовленность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 w="3175">
          <a:noFill/>
        </a:ln>
      </c:spPr>
    </c:title>
    <c:view3D>
      <c:rotX val="30"/>
      <c:hPercent val="24"/>
      <c:rotY val="30"/>
      <c:depthPercent val="100"/>
      <c:rAngAx val="1"/>
    </c:view3D>
    <c:plotArea>
      <c:layout>
        <c:manualLayout>
          <c:xMode val="edge"/>
          <c:yMode val="edge"/>
          <c:x val="0.01325"/>
          <c:y val="0.32625"/>
          <c:w val="0.972"/>
          <c:h val="0.63425"/>
        </c:manualLayout>
      </c:layout>
      <c:bar3DChart>
        <c:barDir val="col"/>
        <c:grouping val="clustered"/>
        <c:varyColors val="0"/>
        <c:ser>
          <c:idx val="0"/>
          <c:order val="0"/>
          <c:tx>
            <c:v>Отлично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'7-б класс'!$Y$41:$AF$41</c:f>
              <c:numCache/>
            </c:numRef>
          </c:val>
          <c:shape val="cylinder"/>
        </c:ser>
        <c:ser>
          <c:idx val="1"/>
          <c:order val="1"/>
          <c:tx>
            <c:v>Хорошо</c:v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'7-б класс'!$Y$42:$AF$42</c:f>
              <c:numCache/>
            </c:numRef>
          </c:val>
          <c:shape val="cylinder"/>
        </c:ser>
        <c:ser>
          <c:idx val="2"/>
          <c:order val="2"/>
          <c:tx>
            <c:v>Удовлетворительно</c:v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'7-б класс'!$Y$43:$AF$43</c:f>
              <c:numCache/>
            </c:numRef>
          </c:val>
          <c:shape val="cylinder"/>
        </c:ser>
        <c:ser>
          <c:idx val="3"/>
          <c:order val="3"/>
          <c:tx>
            <c:v>Неудовлетворительно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'7-б класс'!$Y$44:$AF$44</c:f>
              <c:numCache/>
            </c:numRef>
          </c:val>
          <c:shape val="cylinder"/>
        </c:ser>
        <c:shape val="cylinder"/>
        <c:axId val="60060984"/>
        <c:axId val="3677945"/>
      </c:bar3DChart>
      <c:catAx>
        <c:axId val="60060984"/>
        <c:scaling>
          <c:orientation val="minMax"/>
        </c:scaling>
        <c:axPos val="b"/>
        <c:delete val="1"/>
        <c:majorTickMark val="out"/>
        <c:minorTickMark val="none"/>
        <c:tickLblPos val="nextTo"/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</c:scaling>
        <c:axPos val="l"/>
        <c:delete val="1"/>
        <c:majorTickMark val="out"/>
        <c:minorTickMark val="none"/>
        <c:tickLblPos val="nextTo"/>
        <c:crossAx val="600609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075"/>
          <c:y val="0.1605"/>
          <c:w val="0.895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Тип физического развития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4"/>
          <c:w val="0.829"/>
          <c:h val="0.66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Дефицит массы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Гармоничное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86%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Тучное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'9-а класс'!$D$35:$D$39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Физическая подготовленность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30"/>
      <c:hPercent val="30"/>
      <c:rotY val="30"/>
      <c:depthPercent val="100"/>
      <c:rAngAx val="1"/>
    </c:view3D>
    <c:plotArea>
      <c:layout>
        <c:manualLayout>
          <c:xMode val="edge"/>
          <c:yMode val="edge"/>
          <c:x val="0.01375"/>
          <c:y val="0.29325"/>
          <c:w val="0.9707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Отлично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'9-а класс'!$Y$42:$AF$42</c:f>
              <c:numCache/>
            </c:numRef>
          </c:val>
          <c:shape val="cylinder"/>
        </c:ser>
        <c:ser>
          <c:idx val="1"/>
          <c:order val="1"/>
          <c:tx>
            <c:v>Хорошо</c:v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'9-а класс'!$Y$43:$AF$43</c:f>
              <c:numCache/>
            </c:numRef>
          </c:val>
          <c:shape val="cylinder"/>
        </c:ser>
        <c:ser>
          <c:idx val="2"/>
          <c:order val="2"/>
          <c:tx>
            <c:v>Удовлетворительно</c:v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'9-а класс'!$Y$44:$AF$44</c:f>
              <c:numCache/>
            </c:numRef>
          </c:val>
          <c:shape val="cylinder"/>
        </c:ser>
        <c:ser>
          <c:idx val="3"/>
          <c:order val="3"/>
          <c:tx>
            <c:v>Неудовлетворительно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'9-а класс'!$Y$45:$AF$45</c:f>
              <c:numCache/>
            </c:numRef>
          </c:val>
          <c:shape val="cylinder"/>
        </c:ser>
        <c:shape val="cylinder"/>
        <c:axId val="33101506"/>
        <c:axId val="29478099"/>
      </c:bar3DChart>
      <c:catAx>
        <c:axId val="33101506"/>
        <c:scaling>
          <c:orientation val="minMax"/>
        </c:scaling>
        <c:axPos val="b"/>
        <c:delete val="1"/>
        <c:majorTickMark val="out"/>
        <c:minorTickMark val="none"/>
        <c:tickLblPos val="nextTo"/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delete val="1"/>
        <c:majorTickMark val="out"/>
        <c:minorTickMark val="none"/>
        <c:tickLblPos val="nextTo"/>
        <c:crossAx val="331015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3"/>
          <c:y val="0.141"/>
          <c:w val="0.911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Тип физического развития</a:t>
            </a:r>
          </a:p>
        </c:rich>
      </c:tx>
      <c:layout>
        <c:manualLayout>
          <c:xMode val="factor"/>
          <c:yMode val="factor"/>
          <c:x val="-0.00425"/>
          <c:y val="-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42"/>
          <c:w val="0.8295"/>
          <c:h val="0.6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Дефицит массы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Гармоничное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Тучное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30%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'9-б класс'!$D$23:$D$27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Физическая подготовленность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view3D>
      <c:rotX val="30"/>
      <c:hPercent val="25"/>
      <c:rotY val="30"/>
      <c:depthPercent val="100"/>
      <c:rAngAx val="1"/>
    </c:view3D>
    <c:plotArea>
      <c:layout>
        <c:manualLayout>
          <c:xMode val="edge"/>
          <c:yMode val="edge"/>
          <c:x val="0.0135"/>
          <c:y val="0.324"/>
          <c:w val="0.9715"/>
          <c:h val="0.63675"/>
        </c:manualLayout>
      </c:layout>
      <c:bar3DChart>
        <c:barDir val="col"/>
        <c:grouping val="clustered"/>
        <c:varyColors val="0"/>
        <c:ser>
          <c:idx val="0"/>
          <c:order val="0"/>
          <c:tx>
            <c:v>Отлично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'9-б класс'!$Y$30:$AF$30</c:f>
              <c:numCache/>
            </c:numRef>
          </c:val>
          <c:shape val="cylinder"/>
        </c:ser>
        <c:ser>
          <c:idx val="1"/>
          <c:order val="1"/>
          <c:tx>
            <c:v>Хорошо</c:v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'9-б класс'!$Y$31:$AF$31</c:f>
              <c:numCache/>
            </c:numRef>
          </c:val>
          <c:shape val="cylinder"/>
        </c:ser>
        <c:ser>
          <c:idx val="2"/>
          <c:order val="2"/>
          <c:tx>
            <c:v>Удовлетворительно</c:v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'9-б класс'!$Y$32:$AF$32</c:f>
              <c:numCache/>
            </c:numRef>
          </c:val>
          <c:shape val="cylinder"/>
        </c:ser>
        <c:ser>
          <c:idx val="3"/>
          <c:order val="3"/>
          <c:tx>
            <c:v>Неудовлетворительно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'9-б класс'!$Y$33:$AF$33</c:f>
              <c:numCache/>
            </c:numRef>
          </c:val>
          <c:shape val="cylinder"/>
        </c:ser>
        <c:shape val="cylinder"/>
        <c:axId val="63976300"/>
        <c:axId val="38915789"/>
      </c:bar3DChart>
      <c:catAx>
        <c:axId val="63976300"/>
        <c:scaling>
          <c:orientation val="minMax"/>
        </c:scaling>
        <c:axPos val="b"/>
        <c:delete val="1"/>
        <c:majorTickMark val="out"/>
        <c:minorTickMark val="none"/>
        <c:tickLblPos val="nextTo"/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</c:scaling>
        <c:axPos val="l"/>
        <c:delete val="1"/>
        <c:majorTickMark val="out"/>
        <c:minorTickMark val="none"/>
        <c:tickLblPos val="nextTo"/>
        <c:crossAx val="639763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35"/>
          <c:y val="0.1595"/>
          <c:w val="0.9102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19</xdr:row>
      <xdr:rowOff>9525</xdr:rowOff>
    </xdr:from>
    <xdr:to>
      <xdr:col>12</xdr:col>
      <xdr:colOff>190500</xdr:colOff>
      <xdr:row>34</xdr:row>
      <xdr:rowOff>104775</xdr:rowOff>
    </xdr:to>
    <xdr:graphicFrame>
      <xdr:nvGraphicFramePr>
        <xdr:cNvPr id="1" name="Диаграмма 1"/>
        <xdr:cNvGraphicFramePr/>
      </xdr:nvGraphicFramePr>
      <xdr:xfrm>
        <a:off x="3381375" y="4400550"/>
        <a:ext cx="52959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44</xdr:row>
      <xdr:rowOff>161925</xdr:rowOff>
    </xdr:from>
    <xdr:to>
      <xdr:col>34</xdr:col>
      <xdr:colOff>552450</xdr:colOff>
      <xdr:row>66</xdr:row>
      <xdr:rowOff>28575</xdr:rowOff>
    </xdr:to>
    <xdr:graphicFrame>
      <xdr:nvGraphicFramePr>
        <xdr:cNvPr id="2" name="Диаграмма 6"/>
        <xdr:cNvGraphicFramePr/>
      </xdr:nvGraphicFramePr>
      <xdr:xfrm>
        <a:off x="16668750" y="9124950"/>
        <a:ext cx="74104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29</xdr:row>
      <xdr:rowOff>19050</xdr:rowOff>
    </xdr:from>
    <xdr:to>
      <xdr:col>11</xdr:col>
      <xdr:colOff>238125</xdr:colOff>
      <xdr:row>44</xdr:row>
      <xdr:rowOff>9525</xdr:rowOff>
    </xdr:to>
    <xdr:graphicFrame>
      <xdr:nvGraphicFramePr>
        <xdr:cNvPr id="1" name="Диаграмма 1"/>
        <xdr:cNvGraphicFramePr/>
      </xdr:nvGraphicFramePr>
      <xdr:xfrm>
        <a:off x="3381375" y="5972175"/>
        <a:ext cx="45624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552450</xdr:colOff>
      <xdr:row>54</xdr:row>
      <xdr:rowOff>180975</xdr:rowOff>
    </xdr:from>
    <xdr:to>
      <xdr:col>35</xdr:col>
      <xdr:colOff>9525</xdr:colOff>
      <xdr:row>71</xdr:row>
      <xdr:rowOff>104775</xdr:rowOff>
    </xdr:to>
    <xdr:graphicFrame>
      <xdr:nvGraphicFramePr>
        <xdr:cNvPr id="2" name="Диаграмма 2"/>
        <xdr:cNvGraphicFramePr/>
      </xdr:nvGraphicFramePr>
      <xdr:xfrm>
        <a:off x="16592550" y="10658475"/>
        <a:ext cx="70199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0</xdr:rowOff>
    </xdr:from>
    <xdr:to>
      <xdr:col>11</xdr:col>
      <xdr:colOff>342900</xdr:colOff>
      <xdr:row>44</xdr:row>
      <xdr:rowOff>171450</xdr:rowOff>
    </xdr:to>
    <xdr:graphicFrame>
      <xdr:nvGraphicFramePr>
        <xdr:cNvPr id="1" name="Диаграмма 1"/>
        <xdr:cNvGraphicFramePr/>
      </xdr:nvGraphicFramePr>
      <xdr:xfrm>
        <a:off x="3381375" y="6115050"/>
        <a:ext cx="45434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552450</xdr:colOff>
      <xdr:row>56</xdr:row>
      <xdr:rowOff>9525</xdr:rowOff>
    </xdr:from>
    <xdr:to>
      <xdr:col>34</xdr:col>
      <xdr:colOff>552450</xdr:colOff>
      <xdr:row>74</xdr:row>
      <xdr:rowOff>85725</xdr:rowOff>
    </xdr:to>
    <xdr:graphicFrame>
      <xdr:nvGraphicFramePr>
        <xdr:cNvPr id="2" name="Диаграмма 2"/>
        <xdr:cNvGraphicFramePr/>
      </xdr:nvGraphicFramePr>
      <xdr:xfrm>
        <a:off x="16478250" y="10810875"/>
        <a:ext cx="67246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18</xdr:row>
      <xdr:rowOff>9525</xdr:rowOff>
    </xdr:from>
    <xdr:to>
      <xdr:col>11</xdr:col>
      <xdr:colOff>285750</xdr:colOff>
      <xdr:row>32</xdr:row>
      <xdr:rowOff>95250</xdr:rowOff>
    </xdr:to>
    <xdr:graphicFrame>
      <xdr:nvGraphicFramePr>
        <xdr:cNvPr id="1" name="Диаграмма 1"/>
        <xdr:cNvGraphicFramePr/>
      </xdr:nvGraphicFramePr>
      <xdr:xfrm>
        <a:off x="3390900" y="4314825"/>
        <a:ext cx="4562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43</xdr:row>
      <xdr:rowOff>171450</xdr:rowOff>
    </xdr:from>
    <xdr:to>
      <xdr:col>35</xdr:col>
      <xdr:colOff>0</xdr:colOff>
      <xdr:row>60</xdr:row>
      <xdr:rowOff>95250</xdr:rowOff>
    </xdr:to>
    <xdr:graphicFrame>
      <xdr:nvGraphicFramePr>
        <xdr:cNvPr id="2" name="Диаграмма 2"/>
        <xdr:cNvGraphicFramePr/>
      </xdr:nvGraphicFramePr>
      <xdr:xfrm>
        <a:off x="16716375" y="9058275"/>
        <a:ext cx="68770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B10" sqref="B10"/>
    </sheetView>
  </sheetViews>
  <sheetFormatPr defaultColWidth="8.421875" defaultRowHeight="12.75"/>
  <cols>
    <col min="1" max="1" width="11.7109375" style="0" customWidth="1"/>
    <col min="2" max="2" width="18.8515625" style="0" customWidth="1"/>
    <col min="3" max="3" width="21.57421875" style="0" customWidth="1"/>
    <col min="4" max="4" width="36.7109375" style="0" customWidth="1"/>
  </cols>
  <sheetData>
    <row r="1" spans="1:12" ht="38.25" customHeight="1">
      <c r="A1" s="112" t="s">
        <v>0</v>
      </c>
      <c r="B1" s="112"/>
      <c r="C1" s="112"/>
      <c r="D1" s="112"/>
      <c r="E1" s="105"/>
      <c r="F1" s="105"/>
      <c r="G1" s="105"/>
      <c r="H1" s="105"/>
      <c r="I1" s="105"/>
      <c r="J1" s="105"/>
      <c r="K1" s="105"/>
      <c r="L1" s="105"/>
    </row>
    <row r="2" spans="1:12" s="2" customFormat="1" ht="15">
      <c r="A2" s="113" t="s">
        <v>1</v>
      </c>
      <c r="B2" s="113"/>
      <c r="C2" s="113"/>
      <c r="D2" s="106" t="s">
        <v>2</v>
      </c>
      <c r="E2" s="111" t="s">
        <v>169</v>
      </c>
      <c r="F2" s="111"/>
      <c r="G2" s="111"/>
      <c r="H2" s="111"/>
      <c r="I2" s="111"/>
      <c r="J2" s="111"/>
      <c r="K2" s="111"/>
      <c r="L2" s="111"/>
    </row>
    <row r="3" spans="1:12" s="2" customFormat="1" ht="15">
      <c r="A3" s="113" t="s">
        <v>3</v>
      </c>
      <c r="B3" s="113"/>
      <c r="C3" s="113"/>
      <c r="D3" s="106" t="s">
        <v>4</v>
      </c>
      <c r="E3" s="111"/>
      <c r="F3" s="111"/>
      <c r="G3" s="111"/>
      <c r="H3" s="111"/>
      <c r="I3" s="111"/>
      <c r="J3" s="111"/>
      <c r="K3" s="111"/>
      <c r="L3" s="111"/>
    </row>
    <row r="4" spans="1:12" s="2" customFormat="1" ht="15">
      <c r="A4" s="113" t="s">
        <v>5</v>
      </c>
      <c r="B4" s="113"/>
      <c r="C4" s="113"/>
      <c r="D4" s="106" t="s">
        <v>6</v>
      </c>
      <c r="E4" s="111"/>
      <c r="F4" s="111"/>
      <c r="G4" s="111"/>
      <c r="H4" s="111"/>
      <c r="I4" s="111"/>
      <c r="J4" s="111"/>
      <c r="K4" s="111"/>
      <c r="L4" s="111"/>
    </row>
    <row r="5" spans="1:12" s="2" customFormat="1" ht="15">
      <c r="A5" s="107" t="s">
        <v>7</v>
      </c>
      <c r="B5" s="103"/>
      <c r="C5" s="103"/>
      <c r="D5" s="103"/>
      <c r="E5" s="111"/>
      <c r="F5" s="111"/>
      <c r="G5" s="111"/>
      <c r="H5" s="111"/>
      <c r="I5" s="111"/>
      <c r="J5" s="111"/>
      <c r="K5" s="111"/>
      <c r="L5" s="111"/>
    </row>
    <row r="6" spans="1:12" s="2" customFormat="1" ht="15">
      <c r="A6" s="113" t="s">
        <v>8</v>
      </c>
      <c r="B6" s="113"/>
      <c r="C6" s="113"/>
      <c r="D6" s="106" t="s">
        <v>9</v>
      </c>
      <c r="E6" s="111"/>
      <c r="F6" s="111"/>
      <c r="G6" s="111"/>
      <c r="H6" s="111"/>
      <c r="I6" s="111"/>
      <c r="J6" s="111"/>
      <c r="K6" s="111"/>
      <c r="L6" s="111"/>
    </row>
    <row r="7" spans="1:12" s="2" customFormat="1" ht="15">
      <c r="A7" s="113" t="s">
        <v>10</v>
      </c>
      <c r="B7" s="113"/>
      <c r="C7" s="113"/>
      <c r="D7" s="106" t="s">
        <v>143</v>
      </c>
      <c r="E7" s="111"/>
      <c r="F7" s="111"/>
      <c r="G7" s="111"/>
      <c r="H7" s="111"/>
      <c r="I7" s="111"/>
      <c r="J7" s="111"/>
      <c r="K7" s="111"/>
      <c r="L7" s="111"/>
    </row>
    <row r="8" spans="1:12" s="2" customFormat="1" ht="15">
      <c r="A8" s="113" t="s">
        <v>11</v>
      </c>
      <c r="B8" s="113"/>
      <c r="C8" s="113"/>
      <c r="D8" s="106" t="s">
        <v>144</v>
      </c>
      <c r="E8" s="111"/>
      <c r="F8" s="111"/>
      <c r="G8" s="111"/>
      <c r="H8" s="111"/>
      <c r="I8" s="111"/>
      <c r="J8" s="111"/>
      <c r="K8" s="111"/>
      <c r="L8" s="111"/>
    </row>
    <row r="9" spans="1:12" s="2" customFormat="1" ht="15">
      <c r="A9" s="103"/>
      <c r="B9" s="103"/>
      <c r="C9" s="103"/>
      <c r="D9" s="103"/>
      <c r="E9" s="111"/>
      <c r="F9" s="111"/>
      <c r="G9" s="111"/>
      <c r="H9" s="111"/>
      <c r="I9" s="111"/>
      <c r="J9" s="111"/>
      <c r="K9" s="111"/>
      <c r="L9" s="111"/>
    </row>
    <row r="10" spans="1:12" s="2" customFormat="1" ht="45">
      <c r="A10" s="108" t="s">
        <v>12</v>
      </c>
      <c r="B10" s="109" t="s">
        <v>13</v>
      </c>
      <c r="C10" s="109" t="s">
        <v>14</v>
      </c>
      <c r="D10" s="103"/>
      <c r="E10" s="111"/>
      <c r="F10" s="111"/>
      <c r="G10" s="111"/>
      <c r="H10" s="111"/>
      <c r="I10" s="111"/>
      <c r="J10" s="111"/>
      <c r="K10" s="111"/>
      <c r="L10" s="111"/>
    </row>
    <row r="11" spans="1:12" s="2" customFormat="1" ht="15">
      <c r="A11" s="108" t="s">
        <v>15</v>
      </c>
      <c r="B11" s="108" t="s">
        <v>16</v>
      </c>
      <c r="C11" s="108" t="s">
        <v>9</v>
      </c>
      <c r="D11" s="103"/>
      <c r="E11" s="104"/>
      <c r="F11" s="104"/>
      <c r="G11" s="104"/>
      <c r="H11" s="104"/>
      <c r="I11" s="104"/>
      <c r="J11" s="104"/>
      <c r="K11" s="104"/>
      <c r="L11" s="104"/>
    </row>
    <row r="12" spans="1:12" s="2" customFormat="1" ht="15">
      <c r="A12" s="110" t="s">
        <v>19</v>
      </c>
      <c r="B12" s="110" t="s">
        <v>144</v>
      </c>
      <c r="C12" s="108" t="s">
        <v>9</v>
      </c>
      <c r="D12" s="103"/>
      <c r="E12" s="104"/>
      <c r="F12" s="104"/>
      <c r="G12" s="104"/>
      <c r="H12" s="104"/>
      <c r="I12" s="104"/>
      <c r="J12" s="104"/>
      <c r="K12" s="104"/>
      <c r="L12" s="104"/>
    </row>
    <row r="13" spans="1:12" s="2" customFormat="1" ht="15">
      <c r="A13" s="108" t="s">
        <v>17</v>
      </c>
      <c r="B13" s="108" t="s">
        <v>18</v>
      </c>
      <c r="C13" s="108" t="s">
        <v>9</v>
      </c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s="2" customFormat="1" ht="14.25">
      <c r="A14" s="110" t="s">
        <v>145</v>
      </c>
      <c r="B14" s="110" t="s">
        <v>146</v>
      </c>
      <c r="C14" s="110" t="s">
        <v>9</v>
      </c>
      <c r="D14" s="104"/>
      <c r="E14" s="104"/>
      <c r="F14" s="104"/>
      <c r="G14" s="104"/>
      <c r="H14" s="104"/>
      <c r="I14" s="104"/>
      <c r="J14" s="104"/>
      <c r="K14" s="104"/>
      <c r="L14" s="104"/>
    </row>
    <row r="15" s="2" customFormat="1" ht="14.25"/>
    <row r="16" s="2" customFormat="1" ht="14.25"/>
    <row r="17" s="2" customFormat="1" ht="14.25"/>
  </sheetData>
  <sheetProtection/>
  <mergeCells count="8">
    <mergeCell ref="E2:L10"/>
    <mergeCell ref="A1:D1"/>
    <mergeCell ref="A2:C2"/>
    <mergeCell ref="A3:C3"/>
    <mergeCell ref="A4:C4"/>
    <mergeCell ref="A6:C6"/>
    <mergeCell ref="A7:C7"/>
    <mergeCell ref="A8:C8"/>
  </mergeCells>
  <printOptions gridLines="1"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4"/>
  <sheetViews>
    <sheetView tabSelected="1" zoomScale="80" zoomScaleNormal="80" zoomScalePageLayoutView="0" workbookViewId="0" topLeftCell="A7">
      <selection activeCell="N38" sqref="N38"/>
    </sheetView>
  </sheetViews>
  <sheetFormatPr defaultColWidth="8.421875" defaultRowHeight="12.75"/>
  <cols>
    <col min="1" max="1" width="6.57421875" style="0" customWidth="1"/>
    <col min="2" max="2" width="27.140625" style="0" customWidth="1"/>
    <col min="3" max="5" width="8.421875" style="0" bestFit="1" customWidth="1"/>
    <col min="6" max="6" width="12.57421875" style="0" customWidth="1"/>
    <col min="7" max="7" width="8.421875" style="0" bestFit="1" customWidth="1"/>
    <col min="8" max="8" width="9.57421875" style="0" customWidth="1"/>
    <col min="9" max="9" width="8.421875" style="0" bestFit="1" customWidth="1"/>
    <col min="10" max="10" width="10.00390625" style="0" customWidth="1"/>
    <col min="11" max="11" width="8.421875" style="0" bestFit="1" customWidth="1"/>
    <col min="12" max="12" width="10.8515625" style="0" customWidth="1"/>
    <col min="13" max="15" width="8.421875" style="0" bestFit="1" customWidth="1"/>
    <col min="16" max="16" width="26.7109375" style="0" customWidth="1"/>
    <col min="17" max="17" width="10.140625" style="0" customWidth="1"/>
    <col min="18" max="18" width="10.00390625" style="0" customWidth="1"/>
    <col min="19" max="24" width="8.421875" style="0" bestFit="1" customWidth="1"/>
    <col min="25" max="25" width="9.7109375" style="0" customWidth="1"/>
    <col min="26" max="26" width="8.421875" style="0" bestFit="1" customWidth="1"/>
    <col min="27" max="27" width="9.8515625" style="0" customWidth="1"/>
    <col min="28" max="28" width="10.00390625" style="0" customWidth="1"/>
    <col min="29" max="29" width="11.140625" style="0" customWidth="1"/>
    <col min="30" max="30" width="11.28125" style="0" customWidth="1"/>
    <col min="31" max="31" width="9.8515625" style="0" customWidth="1"/>
    <col min="32" max="33" width="11.57421875" style="0" customWidth="1"/>
    <col min="34" max="34" width="9.421875" style="0" customWidth="1"/>
    <col min="35" max="35" width="8.421875" style="0" customWidth="1"/>
    <col min="36" max="36" width="9.28125" style="0" customWidth="1"/>
    <col min="37" max="38" width="8.421875" style="0" customWidth="1"/>
    <col min="39" max="39" width="9.28125" style="0" customWidth="1"/>
    <col min="40" max="40" width="9.57421875" style="0" customWidth="1"/>
    <col min="41" max="41" width="9.7109375" style="0" customWidth="1"/>
    <col min="42" max="42" width="8.421875" style="0" customWidth="1"/>
    <col min="43" max="43" width="12.00390625" style="0" customWidth="1"/>
  </cols>
  <sheetData>
    <row r="1" spans="1:16" s="2" customFormat="1" ht="14.2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</row>
    <row r="2" spans="1:16" s="2" customFormat="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</row>
    <row r="3" spans="1:16" s="2" customFormat="1" ht="14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</row>
    <row r="4" spans="1:9" s="2" customFormat="1" ht="14.25">
      <c r="A4" s="1"/>
      <c r="B4" s="1"/>
      <c r="C4" s="1"/>
      <c r="D4" s="1"/>
      <c r="E4" s="1"/>
      <c r="F4" s="1"/>
      <c r="G4" s="1"/>
      <c r="H4" s="1"/>
      <c r="I4" s="1"/>
    </row>
    <row r="5" spans="1:33" s="19" customFormat="1" ht="12.75">
      <c r="A5" s="118" t="s">
        <v>22</v>
      </c>
      <c r="B5" s="119"/>
      <c r="C5" s="119"/>
      <c r="D5" s="119"/>
      <c r="E5" s="119"/>
      <c r="F5" s="120"/>
      <c r="G5" s="121" t="s">
        <v>23</v>
      </c>
      <c r="H5" s="118" t="s">
        <v>24</v>
      </c>
      <c r="I5" s="119"/>
      <c r="J5" s="119"/>
      <c r="K5" s="119"/>
      <c r="L5" s="119"/>
      <c r="M5" s="119"/>
      <c r="N5" s="119"/>
      <c r="O5" s="120"/>
      <c r="P5" s="121" t="s">
        <v>25</v>
      </c>
      <c r="Q5" s="118" t="s">
        <v>26</v>
      </c>
      <c r="R5" s="119"/>
      <c r="S5" s="119"/>
      <c r="T5" s="119"/>
      <c r="U5" s="119"/>
      <c r="V5" s="119"/>
      <c r="W5" s="119"/>
      <c r="X5" s="120"/>
      <c r="Y5" s="118" t="s">
        <v>27</v>
      </c>
      <c r="Z5" s="119"/>
      <c r="AA5" s="119"/>
      <c r="AB5" s="119"/>
      <c r="AC5" s="119"/>
      <c r="AD5" s="119"/>
      <c r="AE5" s="119"/>
      <c r="AF5" s="120"/>
      <c r="AG5" s="36"/>
    </row>
    <row r="6" spans="1:43" s="19" customFormat="1" ht="44.25" customHeight="1">
      <c r="A6" s="121" t="s">
        <v>28</v>
      </c>
      <c r="B6" s="121" t="s">
        <v>25</v>
      </c>
      <c r="C6" s="121" t="s">
        <v>12</v>
      </c>
      <c r="D6" s="121" t="s">
        <v>29</v>
      </c>
      <c r="E6" s="121" t="s">
        <v>30</v>
      </c>
      <c r="F6" s="124" t="s">
        <v>31</v>
      </c>
      <c r="G6" s="123"/>
      <c r="H6" s="121" t="s">
        <v>32</v>
      </c>
      <c r="I6" s="124" t="s">
        <v>33</v>
      </c>
      <c r="J6" s="126" t="s">
        <v>34</v>
      </c>
      <c r="K6" s="127"/>
      <c r="L6" s="128"/>
      <c r="M6" s="118" t="s">
        <v>35</v>
      </c>
      <c r="N6" s="120"/>
      <c r="O6" s="121" t="s">
        <v>36</v>
      </c>
      <c r="P6" s="123"/>
      <c r="Q6" s="126" t="s">
        <v>37</v>
      </c>
      <c r="R6" s="128"/>
      <c r="S6" s="126" t="s">
        <v>38</v>
      </c>
      <c r="T6" s="128"/>
      <c r="U6" s="126" t="s">
        <v>39</v>
      </c>
      <c r="V6" s="127"/>
      <c r="W6" s="127"/>
      <c r="X6" s="128"/>
      <c r="Y6" s="124" t="s">
        <v>40</v>
      </c>
      <c r="Z6" s="126" t="s">
        <v>41</v>
      </c>
      <c r="AA6" s="128"/>
      <c r="AB6" s="126" t="s">
        <v>42</v>
      </c>
      <c r="AC6" s="127"/>
      <c r="AD6" s="128"/>
      <c r="AE6" s="126" t="s">
        <v>43</v>
      </c>
      <c r="AF6" s="128"/>
      <c r="AG6" s="69"/>
      <c r="AH6" s="126" t="s">
        <v>151</v>
      </c>
      <c r="AI6" s="127"/>
      <c r="AJ6" s="127"/>
      <c r="AK6" s="127"/>
      <c r="AL6" s="127"/>
      <c r="AM6" s="127"/>
      <c r="AN6" s="127"/>
      <c r="AO6" s="127"/>
      <c r="AP6" s="127"/>
      <c r="AQ6" s="128"/>
    </row>
    <row r="7" spans="1:48" s="19" customFormat="1" ht="78.75" customHeight="1">
      <c r="A7" s="122"/>
      <c r="B7" s="122"/>
      <c r="C7" s="122"/>
      <c r="D7" s="122"/>
      <c r="E7" s="122"/>
      <c r="F7" s="125"/>
      <c r="G7" s="122"/>
      <c r="H7" s="122"/>
      <c r="I7" s="125"/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22"/>
      <c r="P7" s="122"/>
      <c r="Q7" s="23" t="s">
        <v>49</v>
      </c>
      <c r="R7" s="23" t="s">
        <v>50</v>
      </c>
      <c r="S7" s="23" t="s">
        <v>44</v>
      </c>
      <c r="T7" s="23" t="s">
        <v>46</v>
      </c>
      <c r="U7" s="23" t="s">
        <v>51</v>
      </c>
      <c r="V7" s="23" t="s">
        <v>52</v>
      </c>
      <c r="W7" s="23" t="s">
        <v>53</v>
      </c>
      <c r="X7" s="23" t="s">
        <v>54</v>
      </c>
      <c r="Y7" s="125"/>
      <c r="Z7" s="23" t="s">
        <v>55</v>
      </c>
      <c r="AA7" s="23" t="s">
        <v>56</v>
      </c>
      <c r="AB7" s="23" t="s">
        <v>57</v>
      </c>
      <c r="AC7" s="23" t="s">
        <v>132</v>
      </c>
      <c r="AD7" s="23" t="s">
        <v>58</v>
      </c>
      <c r="AE7" s="23" t="s">
        <v>59</v>
      </c>
      <c r="AF7" s="23" t="s">
        <v>133</v>
      </c>
      <c r="AG7" s="69"/>
      <c r="AH7" s="23" t="s">
        <v>150</v>
      </c>
      <c r="AI7" s="23" t="s">
        <v>149</v>
      </c>
      <c r="AJ7" s="76" t="s">
        <v>40</v>
      </c>
      <c r="AK7" s="23" t="s">
        <v>55</v>
      </c>
      <c r="AL7" s="23" t="s">
        <v>56</v>
      </c>
      <c r="AM7" s="23" t="s">
        <v>57</v>
      </c>
      <c r="AN7" s="23" t="s">
        <v>132</v>
      </c>
      <c r="AO7" s="23" t="s">
        <v>58</v>
      </c>
      <c r="AP7" s="23" t="s">
        <v>59</v>
      </c>
      <c r="AQ7" s="23" t="s">
        <v>133</v>
      </c>
      <c r="AS7" s="69"/>
      <c r="AT7" s="69"/>
      <c r="AU7" s="69"/>
      <c r="AV7" s="24"/>
    </row>
    <row r="8" spans="1:47" s="19" customFormat="1" ht="12.75">
      <c r="A8" s="11">
        <v>1</v>
      </c>
      <c r="B8" s="11" t="s">
        <v>60</v>
      </c>
      <c r="C8" s="11">
        <v>7</v>
      </c>
      <c r="D8" s="11" t="s">
        <v>61</v>
      </c>
      <c r="E8" s="11" t="s">
        <v>62</v>
      </c>
      <c r="F8" s="13">
        <v>34786</v>
      </c>
      <c r="G8" s="11">
        <v>13</v>
      </c>
      <c r="H8" s="11">
        <v>161</v>
      </c>
      <c r="I8" s="11">
        <v>50</v>
      </c>
      <c r="J8" s="11">
        <v>82</v>
      </c>
      <c r="K8" s="11">
        <v>75</v>
      </c>
      <c r="L8" s="11">
        <v>73</v>
      </c>
      <c r="M8" s="11"/>
      <c r="N8" s="11"/>
      <c r="O8" s="11"/>
      <c r="P8" s="11" t="s">
        <v>60</v>
      </c>
      <c r="Q8" s="11">
        <v>130</v>
      </c>
      <c r="R8" s="11">
        <v>70</v>
      </c>
      <c r="S8" s="11">
        <v>70</v>
      </c>
      <c r="T8" s="11">
        <v>60</v>
      </c>
      <c r="U8" s="11">
        <v>64</v>
      </c>
      <c r="V8" s="11">
        <v>72</v>
      </c>
      <c r="W8" s="11">
        <v>116</v>
      </c>
      <c r="X8" s="11">
        <v>108</v>
      </c>
      <c r="Y8" s="11">
        <v>3</v>
      </c>
      <c r="Z8" s="11">
        <v>182</v>
      </c>
      <c r="AA8" s="11">
        <v>122</v>
      </c>
      <c r="AB8" s="11">
        <v>25</v>
      </c>
      <c r="AC8" s="38">
        <v>46</v>
      </c>
      <c r="AD8" s="11">
        <v>10</v>
      </c>
      <c r="AE8" s="11">
        <v>4.4</v>
      </c>
      <c r="AF8" s="38">
        <v>6.5</v>
      </c>
      <c r="AG8" s="70"/>
      <c r="AH8" s="121" t="s">
        <v>147</v>
      </c>
      <c r="AI8" s="66">
        <v>5</v>
      </c>
      <c r="AJ8" s="23">
        <v>8</v>
      </c>
      <c r="AK8" s="67">
        <v>180</v>
      </c>
      <c r="AL8" s="67">
        <v>105</v>
      </c>
      <c r="AM8" s="11">
        <v>15</v>
      </c>
      <c r="AN8" s="11">
        <v>45</v>
      </c>
      <c r="AO8" s="67">
        <v>8</v>
      </c>
      <c r="AP8" s="67">
        <v>5.2</v>
      </c>
      <c r="AQ8" s="67">
        <v>7</v>
      </c>
      <c r="AS8" s="74"/>
      <c r="AT8" s="74"/>
      <c r="AU8" s="74"/>
    </row>
    <row r="9" spans="1:47" s="19" customFormat="1" ht="12.75">
      <c r="A9" s="11">
        <v>2</v>
      </c>
      <c r="B9" s="11" t="s">
        <v>63</v>
      </c>
      <c r="C9" s="11">
        <v>7</v>
      </c>
      <c r="D9" s="11" t="s">
        <v>61</v>
      </c>
      <c r="E9" s="11" t="s">
        <v>62</v>
      </c>
      <c r="F9" s="13">
        <v>34853</v>
      </c>
      <c r="G9" s="11">
        <v>13</v>
      </c>
      <c r="H9" s="11">
        <v>165</v>
      </c>
      <c r="I9" s="11">
        <v>45</v>
      </c>
      <c r="J9" s="11">
        <v>73</v>
      </c>
      <c r="K9" s="11">
        <v>68</v>
      </c>
      <c r="L9" s="11">
        <v>67</v>
      </c>
      <c r="M9" s="11"/>
      <c r="N9" s="11"/>
      <c r="O9" s="11"/>
      <c r="P9" s="11" t="s">
        <v>63</v>
      </c>
      <c r="Q9" s="11">
        <v>124</v>
      </c>
      <c r="R9" s="11">
        <v>64</v>
      </c>
      <c r="S9" s="11">
        <v>69</v>
      </c>
      <c r="T9" s="11">
        <v>43</v>
      </c>
      <c r="U9" s="11">
        <v>80</v>
      </c>
      <c r="V9" s="11">
        <v>104</v>
      </c>
      <c r="W9" s="11">
        <v>156</v>
      </c>
      <c r="X9" s="11">
        <v>104</v>
      </c>
      <c r="Y9" s="11">
        <v>6</v>
      </c>
      <c r="Z9" s="11">
        <v>188</v>
      </c>
      <c r="AA9" s="11">
        <v>140</v>
      </c>
      <c r="AB9" s="11">
        <v>25</v>
      </c>
      <c r="AC9" s="38">
        <v>46</v>
      </c>
      <c r="AD9" s="11">
        <v>12</v>
      </c>
      <c r="AE9" s="11">
        <v>4.5</v>
      </c>
      <c r="AF9" s="38">
        <v>6.33</v>
      </c>
      <c r="AG9" s="70"/>
      <c r="AH9" s="123"/>
      <c r="AI9" s="66">
        <v>4</v>
      </c>
      <c r="AJ9" s="11">
        <v>6</v>
      </c>
      <c r="AK9" s="11">
        <v>175</v>
      </c>
      <c r="AL9" s="11">
        <v>95</v>
      </c>
      <c r="AM9" s="11">
        <v>8</v>
      </c>
      <c r="AN9" s="11">
        <v>40</v>
      </c>
      <c r="AO9" s="11">
        <v>6</v>
      </c>
      <c r="AP9" s="11">
        <v>5.5</v>
      </c>
      <c r="AQ9" s="11">
        <v>7.3</v>
      </c>
      <c r="AS9" s="74"/>
      <c r="AT9" s="74"/>
      <c r="AU9" s="74"/>
    </row>
    <row r="10" spans="1:47" s="19" customFormat="1" ht="12.75">
      <c r="A10" s="11">
        <v>3</v>
      </c>
      <c r="B10" s="11" t="s">
        <v>64</v>
      </c>
      <c r="C10" s="11">
        <v>7</v>
      </c>
      <c r="D10" s="11" t="s">
        <v>61</v>
      </c>
      <c r="E10" s="11" t="s">
        <v>62</v>
      </c>
      <c r="F10" s="13">
        <v>34907</v>
      </c>
      <c r="G10" s="11">
        <v>13</v>
      </c>
      <c r="H10" s="11">
        <v>171</v>
      </c>
      <c r="I10" s="11">
        <v>53</v>
      </c>
      <c r="J10" s="11">
        <v>81</v>
      </c>
      <c r="K10" s="11">
        <v>78</v>
      </c>
      <c r="L10" s="11">
        <v>76</v>
      </c>
      <c r="M10" s="11"/>
      <c r="N10" s="11"/>
      <c r="O10" s="11"/>
      <c r="P10" s="11" t="s">
        <v>64</v>
      </c>
      <c r="Q10" s="11">
        <v>105</v>
      </c>
      <c r="R10" s="11">
        <v>72</v>
      </c>
      <c r="S10" s="11">
        <v>74</v>
      </c>
      <c r="T10" s="11">
        <v>51</v>
      </c>
      <c r="U10" s="11">
        <v>104</v>
      </c>
      <c r="V10" s="11">
        <v>116</v>
      </c>
      <c r="W10" s="11">
        <v>156</v>
      </c>
      <c r="X10" s="11">
        <v>112</v>
      </c>
      <c r="Y10" s="11">
        <v>9</v>
      </c>
      <c r="Z10" s="11">
        <v>198</v>
      </c>
      <c r="AA10" s="11">
        <v>100</v>
      </c>
      <c r="AB10" s="11">
        <v>28</v>
      </c>
      <c r="AC10" s="38">
        <v>38</v>
      </c>
      <c r="AD10" s="11">
        <v>12</v>
      </c>
      <c r="AE10" s="11">
        <v>4.4</v>
      </c>
      <c r="AF10" s="38">
        <v>7.35</v>
      </c>
      <c r="AG10" s="70"/>
      <c r="AH10" s="123"/>
      <c r="AI10" s="72">
        <v>3</v>
      </c>
      <c r="AJ10" s="15">
        <v>5</v>
      </c>
      <c r="AK10" s="15">
        <v>170</v>
      </c>
      <c r="AL10" s="15">
        <v>85</v>
      </c>
      <c r="AM10" s="15">
        <v>4</v>
      </c>
      <c r="AN10" s="15">
        <v>35</v>
      </c>
      <c r="AO10" s="15">
        <v>5</v>
      </c>
      <c r="AP10" s="15">
        <v>5.8</v>
      </c>
      <c r="AQ10" s="15">
        <v>8</v>
      </c>
      <c r="AS10" s="74"/>
      <c r="AT10" s="74"/>
      <c r="AU10" s="74"/>
    </row>
    <row r="11" spans="1:47" s="19" customFormat="1" ht="12.75">
      <c r="A11" s="11">
        <v>4</v>
      </c>
      <c r="B11" s="11" t="s">
        <v>65</v>
      </c>
      <c r="C11" s="11">
        <v>7</v>
      </c>
      <c r="D11" s="11" t="s">
        <v>61</v>
      </c>
      <c r="E11" s="11" t="s">
        <v>62</v>
      </c>
      <c r="F11" s="13">
        <v>34867</v>
      </c>
      <c r="G11" s="11">
        <v>13</v>
      </c>
      <c r="H11" s="11">
        <v>153</v>
      </c>
      <c r="I11" s="11">
        <v>38</v>
      </c>
      <c r="J11" s="11">
        <v>69</v>
      </c>
      <c r="K11" s="11">
        <v>67</v>
      </c>
      <c r="L11" s="11">
        <v>66</v>
      </c>
      <c r="M11" s="11"/>
      <c r="N11" s="11"/>
      <c r="O11" s="11"/>
      <c r="P11" s="11" t="s">
        <v>65</v>
      </c>
      <c r="Q11" s="11">
        <v>132</v>
      </c>
      <c r="R11" s="11">
        <v>71</v>
      </c>
      <c r="S11" s="11">
        <v>50</v>
      </c>
      <c r="T11" s="11">
        <v>39</v>
      </c>
      <c r="U11" s="11">
        <v>80</v>
      </c>
      <c r="V11" s="11">
        <v>100</v>
      </c>
      <c r="W11" s="11">
        <v>108</v>
      </c>
      <c r="X11" s="11">
        <v>104</v>
      </c>
      <c r="Y11" s="11">
        <v>4</v>
      </c>
      <c r="Z11" s="11">
        <v>180</v>
      </c>
      <c r="AA11" s="11">
        <v>107</v>
      </c>
      <c r="AB11" s="11">
        <v>25</v>
      </c>
      <c r="AC11" s="38">
        <v>34</v>
      </c>
      <c r="AD11" s="11">
        <v>5</v>
      </c>
      <c r="AE11" s="11">
        <v>4.7</v>
      </c>
      <c r="AF11" s="38">
        <v>6.39</v>
      </c>
      <c r="AG11" s="70"/>
      <c r="AH11" s="75"/>
      <c r="AI11" s="43"/>
      <c r="AJ11" s="43"/>
      <c r="AK11" s="43"/>
      <c r="AL11" s="43"/>
      <c r="AM11" s="43"/>
      <c r="AN11" s="43"/>
      <c r="AO11" s="43"/>
      <c r="AP11" s="43"/>
      <c r="AQ11" s="28"/>
      <c r="AS11" s="74"/>
      <c r="AT11" s="74"/>
      <c r="AU11" s="74"/>
    </row>
    <row r="12" spans="1:47" s="19" customFormat="1" ht="12.75">
      <c r="A12" s="11">
        <v>5</v>
      </c>
      <c r="B12" s="15" t="s">
        <v>66</v>
      </c>
      <c r="C12" s="11">
        <v>7</v>
      </c>
      <c r="D12" s="11" t="s">
        <v>61</v>
      </c>
      <c r="E12" s="11" t="s">
        <v>62</v>
      </c>
      <c r="F12" s="13">
        <v>34968</v>
      </c>
      <c r="G12" s="11">
        <v>13</v>
      </c>
      <c r="H12" s="11">
        <v>147</v>
      </c>
      <c r="I12" s="11">
        <v>34</v>
      </c>
      <c r="J12" s="11">
        <v>60</v>
      </c>
      <c r="K12" s="11">
        <v>58</v>
      </c>
      <c r="L12" s="11">
        <v>57</v>
      </c>
      <c r="M12" s="11"/>
      <c r="N12" s="11"/>
      <c r="O12" s="11"/>
      <c r="P12" s="15" t="s">
        <v>66</v>
      </c>
      <c r="Q12" s="11">
        <v>130</v>
      </c>
      <c r="R12" s="11">
        <v>78</v>
      </c>
      <c r="S12" s="11">
        <v>53</v>
      </c>
      <c r="T12" s="11">
        <v>32</v>
      </c>
      <c r="U12" s="11">
        <v>80</v>
      </c>
      <c r="V12" s="11">
        <v>100</v>
      </c>
      <c r="W12" s="11">
        <v>160</v>
      </c>
      <c r="X12" s="11">
        <v>80</v>
      </c>
      <c r="Y12" s="11">
        <v>4</v>
      </c>
      <c r="Z12" s="11">
        <v>148</v>
      </c>
      <c r="AA12" s="11">
        <v>100</v>
      </c>
      <c r="AB12" s="11">
        <v>25</v>
      </c>
      <c r="AC12" s="38">
        <v>36</v>
      </c>
      <c r="AD12" s="11">
        <v>2</v>
      </c>
      <c r="AE12" s="11">
        <v>5</v>
      </c>
      <c r="AF12" s="38">
        <v>12</v>
      </c>
      <c r="AG12" s="70"/>
      <c r="AH12" s="121" t="s">
        <v>148</v>
      </c>
      <c r="AI12" s="73">
        <v>5</v>
      </c>
      <c r="AJ12" s="12">
        <v>13</v>
      </c>
      <c r="AK12" s="12">
        <v>165</v>
      </c>
      <c r="AL12" s="12">
        <v>110</v>
      </c>
      <c r="AM12" s="12">
        <v>7</v>
      </c>
      <c r="AN12" s="12">
        <v>35</v>
      </c>
      <c r="AO12" s="12">
        <v>13</v>
      </c>
      <c r="AP12" s="12">
        <v>5.5</v>
      </c>
      <c r="AQ12" s="12">
        <v>7.3</v>
      </c>
      <c r="AS12" s="74"/>
      <c r="AT12" s="74"/>
      <c r="AU12" s="74"/>
    </row>
    <row r="13" spans="1:47" s="19" customFormat="1" ht="12.75">
      <c r="A13" s="11"/>
      <c r="B13" s="30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30"/>
      <c r="Q13" s="20"/>
      <c r="R13" s="21"/>
      <c r="S13" s="21"/>
      <c r="T13" s="21"/>
      <c r="U13" s="21"/>
      <c r="V13" s="21"/>
      <c r="W13" s="21"/>
      <c r="X13" s="22"/>
      <c r="Y13" s="20"/>
      <c r="Z13" s="21"/>
      <c r="AA13" s="21"/>
      <c r="AB13" s="21"/>
      <c r="AC13" s="39"/>
      <c r="AD13" s="21"/>
      <c r="AE13" s="21"/>
      <c r="AF13" s="22"/>
      <c r="AG13" s="71"/>
      <c r="AH13" s="123"/>
      <c r="AI13" s="66">
        <v>4</v>
      </c>
      <c r="AJ13" s="11">
        <v>10</v>
      </c>
      <c r="AK13" s="11">
        <v>158</v>
      </c>
      <c r="AL13" s="11">
        <v>70</v>
      </c>
      <c r="AM13" s="11">
        <v>4</v>
      </c>
      <c r="AN13" s="11">
        <v>30</v>
      </c>
      <c r="AO13" s="11">
        <v>10</v>
      </c>
      <c r="AP13" s="11">
        <v>5.8</v>
      </c>
      <c r="AQ13" s="11">
        <v>8</v>
      </c>
      <c r="AS13" s="74"/>
      <c r="AT13" s="74"/>
      <c r="AU13" s="74"/>
    </row>
    <row r="14" spans="1:47" s="19" customFormat="1" ht="12.75">
      <c r="A14" s="11">
        <v>6</v>
      </c>
      <c r="B14" s="12" t="s">
        <v>67</v>
      </c>
      <c r="C14" s="11">
        <v>7</v>
      </c>
      <c r="D14" s="11" t="s">
        <v>61</v>
      </c>
      <c r="E14" s="11" t="s">
        <v>68</v>
      </c>
      <c r="F14" s="13">
        <v>34488</v>
      </c>
      <c r="G14" s="11">
        <v>14</v>
      </c>
      <c r="H14" s="11">
        <v>152</v>
      </c>
      <c r="I14" s="11">
        <v>39</v>
      </c>
      <c r="J14" s="11">
        <v>72</v>
      </c>
      <c r="K14" s="11">
        <v>69</v>
      </c>
      <c r="L14" s="11">
        <v>68</v>
      </c>
      <c r="M14" s="11"/>
      <c r="N14" s="11"/>
      <c r="O14" s="11"/>
      <c r="P14" s="12" t="s">
        <v>67</v>
      </c>
      <c r="Q14" s="11">
        <v>108</v>
      </c>
      <c r="R14" s="11">
        <v>80</v>
      </c>
      <c r="S14" s="11">
        <v>55</v>
      </c>
      <c r="T14" s="11">
        <v>43</v>
      </c>
      <c r="U14" s="11">
        <v>92</v>
      </c>
      <c r="V14" s="11">
        <v>100</v>
      </c>
      <c r="W14" s="11">
        <v>144</v>
      </c>
      <c r="X14" s="11">
        <v>72</v>
      </c>
      <c r="Y14" s="12">
        <v>13</v>
      </c>
      <c r="Z14" s="11">
        <v>163</v>
      </c>
      <c r="AA14" s="12">
        <v>153</v>
      </c>
      <c r="AB14" s="11">
        <v>13</v>
      </c>
      <c r="AC14" s="40">
        <v>38</v>
      </c>
      <c r="AD14" s="12">
        <v>12</v>
      </c>
      <c r="AE14" s="11">
        <v>4.7</v>
      </c>
      <c r="AF14" s="38">
        <v>7.04</v>
      </c>
      <c r="AG14" s="70"/>
      <c r="AH14" s="122"/>
      <c r="AI14" s="66">
        <v>3</v>
      </c>
      <c r="AJ14" s="11">
        <v>9</v>
      </c>
      <c r="AK14" s="11">
        <v>150</v>
      </c>
      <c r="AL14" s="11">
        <v>45</v>
      </c>
      <c r="AM14" s="11">
        <v>2</v>
      </c>
      <c r="AN14" s="11">
        <v>25</v>
      </c>
      <c r="AO14" s="11">
        <v>9</v>
      </c>
      <c r="AP14" s="11">
        <v>6.1</v>
      </c>
      <c r="AQ14" s="68">
        <v>8.3</v>
      </c>
      <c r="AS14" s="74"/>
      <c r="AT14" s="74"/>
      <c r="AU14" s="74"/>
    </row>
    <row r="15" spans="1:47" s="19" customFormat="1" ht="12.75">
      <c r="A15" s="11">
        <v>7</v>
      </c>
      <c r="B15" s="11" t="s">
        <v>69</v>
      </c>
      <c r="C15" s="11">
        <v>7</v>
      </c>
      <c r="D15" s="11" t="s">
        <v>61</v>
      </c>
      <c r="E15" s="11" t="s">
        <v>68</v>
      </c>
      <c r="F15" s="13">
        <v>35043</v>
      </c>
      <c r="G15" s="11">
        <v>13</v>
      </c>
      <c r="H15" s="12">
        <v>155</v>
      </c>
      <c r="I15" s="11">
        <v>50</v>
      </c>
      <c r="J15" s="11">
        <v>75</v>
      </c>
      <c r="K15" s="12">
        <v>71</v>
      </c>
      <c r="L15" s="11">
        <v>68</v>
      </c>
      <c r="M15" s="11"/>
      <c r="N15" s="11"/>
      <c r="O15" s="11"/>
      <c r="P15" s="11" t="s">
        <v>69</v>
      </c>
      <c r="Q15" s="11">
        <v>115</v>
      </c>
      <c r="R15" s="11">
        <v>64</v>
      </c>
      <c r="S15" s="11">
        <v>50</v>
      </c>
      <c r="T15" s="11">
        <v>47</v>
      </c>
      <c r="U15" s="11">
        <v>96</v>
      </c>
      <c r="V15" s="11">
        <v>92</v>
      </c>
      <c r="W15" s="11">
        <v>140</v>
      </c>
      <c r="X15" s="11">
        <v>76</v>
      </c>
      <c r="Y15" s="11">
        <v>19</v>
      </c>
      <c r="Z15" s="12">
        <v>171</v>
      </c>
      <c r="AA15" s="11">
        <v>110</v>
      </c>
      <c r="AB15" s="11">
        <v>13</v>
      </c>
      <c r="AC15" s="38">
        <v>30</v>
      </c>
      <c r="AD15" s="11">
        <v>7</v>
      </c>
      <c r="AE15" s="12">
        <v>4.7</v>
      </c>
      <c r="AF15" s="38">
        <v>7.04</v>
      </c>
      <c r="AG15" s="70"/>
      <c r="AS15" s="74"/>
      <c r="AT15" s="74"/>
      <c r="AU15" s="74"/>
    </row>
    <row r="16" spans="1:47" s="19" customFormat="1" ht="12.75">
      <c r="A16" s="11">
        <v>8</v>
      </c>
      <c r="B16" s="11" t="s">
        <v>70</v>
      </c>
      <c r="C16" s="11">
        <v>7</v>
      </c>
      <c r="D16" s="11" t="s">
        <v>61</v>
      </c>
      <c r="E16" s="11" t="s">
        <v>68</v>
      </c>
      <c r="F16" s="13">
        <v>34959</v>
      </c>
      <c r="G16" s="11">
        <v>13</v>
      </c>
      <c r="H16" s="11">
        <v>161</v>
      </c>
      <c r="I16" s="11">
        <v>49</v>
      </c>
      <c r="J16" s="11">
        <v>73</v>
      </c>
      <c r="K16" s="11">
        <v>70</v>
      </c>
      <c r="L16" s="11">
        <v>68</v>
      </c>
      <c r="M16" s="11"/>
      <c r="N16" s="11"/>
      <c r="O16" s="11"/>
      <c r="P16" s="11" t="s">
        <v>70</v>
      </c>
      <c r="Q16" s="11">
        <v>125</v>
      </c>
      <c r="R16" s="11">
        <v>64</v>
      </c>
      <c r="S16" s="11">
        <v>31</v>
      </c>
      <c r="T16" s="11">
        <v>25</v>
      </c>
      <c r="U16" s="11">
        <v>96</v>
      </c>
      <c r="V16" s="11">
        <v>96</v>
      </c>
      <c r="W16" s="11">
        <v>144</v>
      </c>
      <c r="X16" s="11">
        <v>96</v>
      </c>
      <c r="Y16" s="11">
        <v>2</v>
      </c>
      <c r="Z16" s="11">
        <v>164</v>
      </c>
      <c r="AA16" s="11">
        <v>98</v>
      </c>
      <c r="AB16" s="11">
        <v>4</v>
      </c>
      <c r="AC16" s="38">
        <v>31</v>
      </c>
      <c r="AD16" s="11">
        <v>2</v>
      </c>
      <c r="AE16" s="11">
        <v>5.4</v>
      </c>
      <c r="AF16" s="38">
        <v>9.08</v>
      </c>
      <c r="AG16" s="70"/>
      <c r="AS16" s="74"/>
      <c r="AT16" s="74"/>
      <c r="AU16" s="74"/>
    </row>
    <row r="17" spans="1:47" s="19" customFormat="1" ht="12.75">
      <c r="A17" s="11">
        <v>9</v>
      </c>
      <c r="B17" s="11" t="s">
        <v>71</v>
      </c>
      <c r="C17" s="11">
        <v>7</v>
      </c>
      <c r="D17" s="11" t="s">
        <v>61</v>
      </c>
      <c r="E17" s="11" t="s">
        <v>68</v>
      </c>
      <c r="F17" s="13">
        <v>35070</v>
      </c>
      <c r="G17" s="11">
        <v>12</v>
      </c>
      <c r="H17" s="11">
        <v>140</v>
      </c>
      <c r="I17" s="11">
        <v>34</v>
      </c>
      <c r="J17" s="11">
        <v>70</v>
      </c>
      <c r="K17" s="11">
        <v>68</v>
      </c>
      <c r="L17" s="11">
        <v>65</v>
      </c>
      <c r="M17" s="11"/>
      <c r="N17" s="11"/>
      <c r="O17" s="11"/>
      <c r="P17" s="11" t="s">
        <v>71</v>
      </c>
      <c r="Q17" s="11">
        <v>109</v>
      </c>
      <c r="R17" s="11">
        <v>77</v>
      </c>
      <c r="S17" s="11">
        <v>28</v>
      </c>
      <c r="T17" s="11">
        <v>15</v>
      </c>
      <c r="U17" s="11">
        <v>80</v>
      </c>
      <c r="V17" s="11">
        <v>64</v>
      </c>
      <c r="W17" s="11">
        <v>128</v>
      </c>
      <c r="X17" s="11">
        <v>64</v>
      </c>
      <c r="Y17" s="11">
        <v>-5</v>
      </c>
      <c r="Z17" s="11">
        <v>143</v>
      </c>
      <c r="AA17" s="11">
        <v>112</v>
      </c>
      <c r="AB17" s="11">
        <v>15</v>
      </c>
      <c r="AC17" s="38">
        <v>27</v>
      </c>
      <c r="AD17" s="11">
        <v>7</v>
      </c>
      <c r="AE17" s="11">
        <v>5.5</v>
      </c>
      <c r="AF17" s="38">
        <v>9.21</v>
      </c>
      <c r="AG17" s="70"/>
      <c r="AS17" s="74"/>
      <c r="AT17" s="74"/>
      <c r="AU17" s="74"/>
    </row>
    <row r="18" spans="1:47" s="19" customFormat="1" ht="12.75">
      <c r="A18" s="11">
        <v>10</v>
      </c>
      <c r="B18" s="11" t="s">
        <v>72</v>
      </c>
      <c r="C18" s="11">
        <v>7</v>
      </c>
      <c r="D18" s="11" t="s">
        <v>61</v>
      </c>
      <c r="E18" s="11" t="s">
        <v>68</v>
      </c>
      <c r="F18" s="13">
        <v>34555</v>
      </c>
      <c r="G18" s="11">
        <v>14</v>
      </c>
      <c r="H18" s="11">
        <v>168</v>
      </c>
      <c r="I18" s="11">
        <v>55</v>
      </c>
      <c r="J18" s="11">
        <v>74</v>
      </c>
      <c r="K18" s="11">
        <v>72</v>
      </c>
      <c r="L18" s="11">
        <v>71</v>
      </c>
      <c r="M18" s="11"/>
      <c r="N18" s="11"/>
      <c r="O18" s="11"/>
      <c r="P18" s="11" t="s">
        <v>72</v>
      </c>
      <c r="Q18" s="11">
        <v>115</v>
      </c>
      <c r="R18" s="11">
        <v>70</v>
      </c>
      <c r="S18" s="11">
        <v>74</v>
      </c>
      <c r="T18" s="11">
        <v>57</v>
      </c>
      <c r="U18" s="11">
        <v>80</v>
      </c>
      <c r="V18" s="11">
        <v>100</v>
      </c>
      <c r="W18" s="11">
        <v>146</v>
      </c>
      <c r="X18" s="11">
        <v>92</v>
      </c>
      <c r="Y18" s="15">
        <v>9</v>
      </c>
      <c r="Z18" s="11" t="s">
        <v>73</v>
      </c>
      <c r="AA18" s="11" t="s">
        <v>73</v>
      </c>
      <c r="AB18" s="11" t="s">
        <v>73</v>
      </c>
      <c r="AC18" s="11" t="s">
        <v>73</v>
      </c>
      <c r="AD18" s="11" t="s">
        <v>73</v>
      </c>
      <c r="AE18" s="11" t="s">
        <v>73</v>
      </c>
      <c r="AF18" s="11" t="s">
        <v>73</v>
      </c>
      <c r="AG18" s="36"/>
      <c r="AS18" s="74"/>
      <c r="AT18" s="74"/>
      <c r="AU18" s="74"/>
    </row>
    <row r="19" spans="1:47" s="19" customFormat="1" ht="12.75">
      <c r="A19" s="11">
        <v>11</v>
      </c>
      <c r="B19" s="11" t="s">
        <v>74</v>
      </c>
      <c r="C19" s="11">
        <v>7</v>
      </c>
      <c r="D19" s="11" t="s">
        <v>61</v>
      </c>
      <c r="E19" s="11" t="s">
        <v>68</v>
      </c>
      <c r="F19" s="13">
        <v>34770</v>
      </c>
      <c r="G19" s="11">
        <v>13</v>
      </c>
      <c r="H19" s="11">
        <v>159</v>
      </c>
      <c r="I19" s="11">
        <v>61</v>
      </c>
      <c r="J19" s="11">
        <v>81</v>
      </c>
      <c r="K19" s="11">
        <v>78</v>
      </c>
      <c r="L19" s="11">
        <v>77</v>
      </c>
      <c r="M19" s="11"/>
      <c r="N19" s="11"/>
      <c r="O19" s="11"/>
      <c r="P19" s="11" t="s">
        <v>74</v>
      </c>
      <c r="Q19" s="11">
        <v>102</v>
      </c>
      <c r="R19" s="11">
        <v>88</v>
      </c>
      <c r="S19" s="11">
        <v>40</v>
      </c>
      <c r="T19" s="11">
        <v>40</v>
      </c>
      <c r="U19" s="11">
        <v>64</v>
      </c>
      <c r="V19" s="11">
        <v>76</v>
      </c>
      <c r="W19" s="11">
        <v>116</v>
      </c>
      <c r="X19" s="11">
        <v>100</v>
      </c>
      <c r="Y19" s="11">
        <v>-3</v>
      </c>
      <c r="Z19" s="11" t="s">
        <v>73</v>
      </c>
      <c r="AA19" s="11" t="s">
        <v>73</v>
      </c>
      <c r="AB19" s="11" t="s">
        <v>73</v>
      </c>
      <c r="AC19" s="11" t="s">
        <v>73</v>
      </c>
      <c r="AD19" s="11" t="s">
        <v>73</v>
      </c>
      <c r="AE19" s="11" t="s">
        <v>73</v>
      </c>
      <c r="AF19" s="11" t="s">
        <v>73</v>
      </c>
      <c r="AG19" s="36"/>
      <c r="AS19" s="74"/>
      <c r="AT19" s="74"/>
      <c r="AU19" s="74"/>
    </row>
    <row r="20" spans="2:33" s="2" customFormat="1" ht="15">
      <c r="B20" s="10"/>
      <c r="C20" s="3"/>
      <c r="D20" s="3"/>
      <c r="E20" s="3"/>
      <c r="F20" s="16"/>
      <c r="G20" s="3"/>
      <c r="H20" s="14"/>
      <c r="I20" s="14"/>
      <c r="J20" s="3"/>
      <c r="K20" s="14"/>
      <c r="L20" s="3"/>
      <c r="M20" s="3"/>
      <c r="N20" s="3"/>
      <c r="O20" s="3"/>
      <c r="P20" s="10"/>
      <c r="Q20" s="3"/>
      <c r="R20" s="3"/>
      <c r="S20" s="3"/>
      <c r="T20" s="3"/>
      <c r="U20" s="3"/>
      <c r="V20" s="3"/>
      <c r="W20" s="3"/>
      <c r="X20" s="3"/>
      <c r="Y20" s="64"/>
      <c r="Z20" s="65"/>
      <c r="AA20" s="64"/>
      <c r="AB20" s="3"/>
      <c r="AC20" s="3"/>
      <c r="AD20" s="64"/>
      <c r="AE20" s="65"/>
      <c r="AF20" s="64"/>
      <c r="AG20" s="64"/>
    </row>
    <row r="21" spans="1:35" s="2" customFormat="1" ht="15">
      <c r="A21" s="3"/>
      <c r="B21" s="114" t="s">
        <v>135</v>
      </c>
      <c r="C21" s="114"/>
      <c r="D21" s="114"/>
      <c r="E21" s="3"/>
      <c r="F21" s="16"/>
      <c r="G21" s="3"/>
      <c r="H21" s="14"/>
      <c r="I21" s="14"/>
      <c r="J21" s="3"/>
      <c r="K21" s="14"/>
      <c r="L21" s="3"/>
      <c r="M21" s="3"/>
      <c r="N21" s="88"/>
      <c r="O21" s="3"/>
      <c r="P21" s="91"/>
      <c r="Q21" s="92" t="s">
        <v>170</v>
      </c>
      <c r="R21" s="92" t="s">
        <v>167</v>
      </c>
      <c r="S21" s="92" t="s">
        <v>168</v>
      </c>
      <c r="T21" s="92" t="s">
        <v>171</v>
      </c>
      <c r="U21" s="3"/>
      <c r="V21" s="80"/>
      <c r="W21" s="80"/>
      <c r="X21" s="78"/>
      <c r="Y21" s="77">
        <f>COUNTIF(Y8:Y12,"&gt;=8")</f>
        <v>1</v>
      </c>
      <c r="Z21" s="4">
        <f>_xlfn.COUNTIFS(Z8:Z12,"&gt;=180")</f>
        <v>4</v>
      </c>
      <c r="AA21" s="4">
        <f>_xlfn.COUNTIFS(AA8:AA12,"&gt;=105")</f>
        <v>3</v>
      </c>
      <c r="AB21" s="4">
        <f>_xlfn.COUNTIFS(AB8:AB12,"&gt;=15")</f>
        <v>5</v>
      </c>
      <c r="AC21" s="4">
        <f>_xlfn.COUNTIFS(AC8:AC12,"&gt;=45")</f>
        <v>2</v>
      </c>
      <c r="AD21" s="4">
        <f>_xlfn.COUNTIFS(AD8:AD12,"&gt;=8")</f>
        <v>3</v>
      </c>
      <c r="AE21" s="4">
        <f>_xlfn.COUNTIFS(AE8:AE12,"&lt;=5,2")</f>
        <v>5</v>
      </c>
      <c r="AF21" s="4">
        <f>_xlfn.COUNTIFS(AF8:AF12,"&lt;=7")</f>
        <v>3</v>
      </c>
      <c r="AG21" s="66" t="s">
        <v>152</v>
      </c>
      <c r="AH21" s="142" t="s">
        <v>147</v>
      </c>
      <c r="AI21" s="143"/>
    </row>
    <row r="22" spans="1:35" s="2" customFormat="1" ht="15">
      <c r="A22" s="3"/>
      <c r="B22" s="44"/>
      <c r="C22" s="44"/>
      <c r="D22" s="45"/>
      <c r="E22" s="3"/>
      <c r="F22" s="16"/>
      <c r="G22" s="3"/>
      <c r="H22" s="14"/>
      <c r="I22" s="14"/>
      <c r="J22" s="3"/>
      <c r="K22" s="14"/>
      <c r="L22" s="3"/>
      <c r="M22" s="3"/>
      <c r="N22" s="88"/>
      <c r="O22" s="3"/>
      <c r="P22" s="94"/>
      <c r="Q22" s="95"/>
      <c r="R22" s="95"/>
      <c r="S22" s="95"/>
      <c r="T22" s="96"/>
      <c r="U22" s="3"/>
      <c r="V22" s="80"/>
      <c r="W22" s="80"/>
      <c r="X22" s="78"/>
      <c r="Y22" s="77">
        <f>_xlfn.COUNTIFS(Y8:Y12,6,Y8:Y12,"&lt;8")</f>
        <v>1</v>
      </c>
      <c r="Z22" s="4">
        <f>_xlfn.COUNTIFS(Z8:Z12,"&lt;180",Z8:Z12,"&gt;174")</f>
        <v>0</v>
      </c>
      <c r="AA22" s="4">
        <f>_xlfn.COUNTIFS(AA8:AA12,"&lt;105",AA8:AA12,"&gt;94")</f>
        <v>2</v>
      </c>
      <c r="AB22" s="4">
        <f>_xlfn.COUNTIFS(AB8:AB12,"&lt;15",AB8:AB12,"&gt;=8")</f>
        <v>0</v>
      </c>
      <c r="AC22" s="4">
        <f>_xlfn.COUNTIFS(AC8:AC12,"&lt;45",AC8:AC12,"&gt;=40")</f>
        <v>0</v>
      </c>
      <c r="AD22" s="4">
        <f>_xlfn.COUNTIFS(AD8:AD12,"&lt;8",AD8:AD12,"&gt;=6")</f>
        <v>0</v>
      </c>
      <c r="AE22" s="4">
        <f>_xlfn.COUNTIFS(AE8:AE12,"&gt;5,2",AE8:AE12,"&lt;=5,5")</f>
        <v>0</v>
      </c>
      <c r="AF22" s="4">
        <f>_xlfn.COUNTIFS(AF8:AF12,"&gt;7",AF8:AF12,"&lt;=7,3")</f>
        <v>0</v>
      </c>
      <c r="AG22" s="66" t="s">
        <v>153</v>
      </c>
      <c r="AH22" s="144"/>
      <c r="AI22" s="145"/>
    </row>
    <row r="23" spans="1:35" s="2" customFormat="1" ht="14.25">
      <c r="A23" s="3"/>
      <c r="B23" s="44"/>
      <c r="C23" s="44"/>
      <c r="D23" s="45"/>
      <c r="E23" s="3"/>
      <c r="F23" s="16"/>
      <c r="G23" s="3"/>
      <c r="H23" s="14"/>
      <c r="I23" s="14"/>
      <c r="J23" s="3"/>
      <c r="K23" s="14"/>
      <c r="L23" s="3"/>
      <c r="M23" s="3"/>
      <c r="N23" s="88"/>
      <c r="O23" s="3"/>
      <c r="P23" s="12" t="s">
        <v>60</v>
      </c>
      <c r="Q23" s="93">
        <v>16.53</v>
      </c>
      <c r="R23" s="93">
        <f>(I8/H8)*(AC8/60)</f>
        <v>0.23809523809523808</v>
      </c>
      <c r="S23" s="93">
        <f>U8*Q8/100</f>
        <v>83.2</v>
      </c>
      <c r="T23" s="93">
        <v>127.04</v>
      </c>
      <c r="U23" s="3"/>
      <c r="V23" s="80"/>
      <c r="W23" s="80"/>
      <c r="X23" s="78"/>
      <c r="Y23" s="77">
        <f>_xlfn.COUNTIFS(Y8:Y12,5,Y8:Y12,"&lt;6")</f>
        <v>0</v>
      </c>
      <c r="Z23" s="4">
        <f>_xlfn.COUNTIFS(Z8:Z12,"&lt;175",Z8:Z12,"&gt;169")</f>
        <v>0</v>
      </c>
      <c r="AA23" s="4">
        <f>_xlfn.COUNTIFS(AA8:AA12,"&lt;95",AA8:AA12,"&gt;84")</f>
        <v>0</v>
      </c>
      <c r="AB23" s="4">
        <f>_xlfn.COUNTIFS(AB8:AB12,"&lt;8",AB8:AB12,"&gt;=4")</f>
        <v>0</v>
      </c>
      <c r="AC23" s="4">
        <f>_xlfn.COUNTIFS(AC8:AC12,"&lt;40",AC8:AC12,"&gt;=35")</f>
        <v>2</v>
      </c>
      <c r="AD23" s="4">
        <f>_xlfn.COUNTIFS(AD8:AD12,"&lt;6",AD8:AD12,"&gt;=5")</f>
        <v>1</v>
      </c>
      <c r="AE23" s="4">
        <f>_xlfn.COUNTIFS(AE8:AE12,"&gt;5,8",AE8:AE12,"&lt;=6,1")</f>
        <v>0</v>
      </c>
      <c r="AF23" s="4">
        <f>_xlfn.COUNTIFS(AF8:AF12,"&gt;7,3",AF8:AF12,"&lt;=8")</f>
        <v>1</v>
      </c>
      <c r="AG23" s="66" t="s">
        <v>154</v>
      </c>
      <c r="AH23" s="144"/>
      <c r="AI23" s="145"/>
    </row>
    <row r="24" spans="1:35" s="2" customFormat="1" ht="14.25">
      <c r="A24" s="3"/>
      <c r="B24" s="46" t="s">
        <v>136</v>
      </c>
      <c r="C24" s="47">
        <v>11</v>
      </c>
      <c r="D24" s="48" t="s">
        <v>137</v>
      </c>
      <c r="E24" s="3"/>
      <c r="F24" s="16"/>
      <c r="G24" s="3"/>
      <c r="H24" s="14"/>
      <c r="I24" s="14"/>
      <c r="J24" s="3"/>
      <c r="K24" s="14"/>
      <c r="L24" s="3"/>
      <c r="M24" s="3"/>
      <c r="N24" s="88"/>
      <c r="O24" s="3"/>
      <c r="P24" s="11" t="s">
        <v>63</v>
      </c>
      <c r="Q24" s="4">
        <v>19.29</v>
      </c>
      <c r="R24" s="4">
        <f>(I9/H9)*(AC9/60)</f>
        <v>0.20909090909090908</v>
      </c>
      <c r="S24" s="4">
        <f>U9*Q9/100</f>
        <v>99.2</v>
      </c>
      <c r="T24" s="4">
        <v>105.36</v>
      </c>
      <c r="U24" s="3"/>
      <c r="V24" s="80"/>
      <c r="W24" s="80"/>
      <c r="X24" s="78"/>
      <c r="Y24" s="77">
        <f>_xlfn.COUNTIFS(Y8:Y12,"&lt;5")</f>
        <v>3</v>
      </c>
      <c r="Z24" s="4">
        <f>_xlfn.COUNTIFS(Z8:Z12,"&lt;170")</f>
        <v>1</v>
      </c>
      <c r="AA24" s="4">
        <f>_xlfn.COUNTIFS(AA8:AA12,"&lt;85")</f>
        <v>0</v>
      </c>
      <c r="AB24" s="4">
        <f>_xlfn.COUNTIFS(AB8:AB12,"&lt;4")</f>
        <v>0</v>
      </c>
      <c r="AC24" s="4">
        <f>_xlfn.COUNTIFS(AC8:AC12,"&lt;35")</f>
        <v>1</v>
      </c>
      <c r="AD24" s="4">
        <f>_xlfn.COUNTIFS(AD8:AD12,"&lt;5")</f>
        <v>1</v>
      </c>
      <c r="AE24" s="4">
        <f>_xlfn.COUNTIFS(AE8:AE12,"&gt;6,1")</f>
        <v>0</v>
      </c>
      <c r="AF24" s="4">
        <f>_xlfn.COUNTIFS(AF8:AF12,"&gt;8")</f>
        <v>1</v>
      </c>
      <c r="AG24" s="66" t="s">
        <v>155</v>
      </c>
      <c r="AH24" s="146"/>
      <c r="AI24" s="147"/>
    </row>
    <row r="25" spans="1:35" s="2" customFormat="1" ht="14.25">
      <c r="A25" s="3"/>
      <c r="B25" s="49" t="s">
        <v>138</v>
      </c>
      <c r="C25" s="50">
        <v>4</v>
      </c>
      <c r="D25" s="51">
        <f>C25*100/C24</f>
        <v>36.36363636363637</v>
      </c>
      <c r="E25" s="3"/>
      <c r="F25" s="16"/>
      <c r="G25" s="3"/>
      <c r="H25" s="14"/>
      <c r="I25" s="14"/>
      <c r="J25" s="3"/>
      <c r="K25" s="14"/>
      <c r="L25" s="3"/>
      <c r="M25" s="3"/>
      <c r="N25" s="88"/>
      <c r="O25" s="3"/>
      <c r="P25" s="11" t="s">
        <v>64</v>
      </c>
      <c r="Q25" s="4">
        <v>18.13</v>
      </c>
      <c r="R25" s="4">
        <f>(I10/H10)*(AC10/60)</f>
        <v>0.19629629629629627</v>
      </c>
      <c r="S25" s="4">
        <f>U10*Q10/100</f>
        <v>109.2</v>
      </c>
      <c r="T25" s="4">
        <v>117.38</v>
      </c>
      <c r="U25" s="3"/>
      <c r="V25" s="33"/>
      <c r="W25" s="33"/>
      <c r="X25" s="79"/>
      <c r="AH25" s="3"/>
      <c r="AI25" s="77"/>
    </row>
    <row r="26" spans="1:35" s="2" customFormat="1" ht="14.25">
      <c r="A26" s="3"/>
      <c r="B26" s="52" t="s">
        <v>139</v>
      </c>
      <c r="C26" s="50">
        <v>3</v>
      </c>
      <c r="D26" s="115">
        <f>(C26+C27+C28)*100/C24</f>
        <v>54.54545454545455</v>
      </c>
      <c r="E26" s="3"/>
      <c r="F26" s="16"/>
      <c r="G26" s="3"/>
      <c r="H26" s="14"/>
      <c r="I26" s="14"/>
      <c r="J26" s="3"/>
      <c r="K26" s="14"/>
      <c r="L26" s="3"/>
      <c r="M26" s="3"/>
      <c r="N26" s="3"/>
      <c r="O26" s="3"/>
      <c r="P26" s="11" t="s">
        <v>65</v>
      </c>
      <c r="Q26" s="4">
        <v>16.23</v>
      </c>
      <c r="R26" s="4">
        <f>(I11/H11)*(AC11/60)</f>
        <v>0.14074074074074075</v>
      </c>
      <c r="S26" s="4">
        <f>U11*Q11/100</f>
        <v>105.6</v>
      </c>
      <c r="T26" s="4">
        <v>112.89</v>
      </c>
      <c r="U26" s="3"/>
      <c r="V26" s="80"/>
      <c r="W26" s="80"/>
      <c r="X26" s="78"/>
      <c r="Y26" s="77">
        <f>COUNTIF(Y14:Y19,"&gt;=13")</f>
        <v>2</v>
      </c>
      <c r="Z26" s="4">
        <f>_xlfn.COUNTIFS(Z14:Z19,"&gt;=165")</f>
        <v>1</v>
      </c>
      <c r="AA26" s="4">
        <f>_xlfn.COUNTIFS(AA14:AA17,"&gt;=110")</f>
        <v>3</v>
      </c>
      <c r="AB26" s="4">
        <f>_xlfn.COUNTIFS(AB14:AB17,"&gt;=7")</f>
        <v>3</v>
      </c>
      <c r="AC26" s="4">
        <f>_xlfn.COUNTIFS(AC14:AC17,"&gt;=35")</f>
        <v>1</v>
      </c>
      <c r="AD26" s="4">
        <f>_xlfn.COUNTIFS(AD14:AD17,"&gt;=13")</f>
        <v>0</v>
      </c>
      <c r="AE26" s="4">
        <f>_xlfn.COUNTIFS(AE14:AE17,"&lt;=5,5")</f>
        <v>4</v>
      </c>
      <c r="AF26" s="4">
        <f>_xlfn.COUNTIFS(AF14:AF17,"&lt;=7,3")</f>
        <v>2</v>
      </c>
      <c r="AG26" s="66" t="s">
        <v>152</v>
      </c>
      <c r="AH26" s="142" t="s">
        <v>148</v>
      </c>
      <c r="AI26" s="143"/>
    </row>
    <row r="27" spans="1:35" s="2" customFormat="1" ht="14.25">
      <c r="A27" s="3"/>
      <c r="B27" s="53" t="s">
        <v>140</v>
      </c>
      <c r="C27" s="50">
        <v>3</v>
      </c>
      <c r="D27" s="116"/>
      <c r="E27" s="3"/>
      <c r="F27" s="16"/>
      <c r="G27" s="3"/>
      <c r="H27" s="14"/>
      <c r="I27" s="14"/>
      <c r="J27" s="3"/>
      <c r="K27" s="14"/>
      <c r="L27" s="3"/>
      <c r="M27" s="3"/>
      <c r="N27" s="3"/>
      <c r="O27" s="3"/>
      <c r="P27" s="11" t="s">
        <v>66</v>
      </c>
      <c r="Q27" s="4" t="s">
        <v>172</v>
      </c>
      <c r="R27" s="4">
        <f>(I12/H12)*(AC12/60)</f>
        <v>0.13877551020408163</v>
      </c>
      <c r="S27" s="4">
        <f>U12*Q12/100</f>
        <v>104</v>
      </c>
      <c r="T27" s="4">
        <v>122.84</v>
      </c>
      <c r="U27" s="3"/>
      <c r="V27" s="80"/>
      <c r="W27" s="80"/>
      <c r="X27" s="78"/>
      <c r="Y27" s="77">
        <f>_xlfn.COUNTIFS(Y14:Y19,10,Y14:Y19,"&lt;13")</f>
        <v>0</v>
      </c>
      <c r="Z27" s="4">
        <f>_xlfn.COUNTIFS(Z14:Z17,"&lt;165",Z14:Z17,"&gt;157")</f>
        <v>2</v>
      </c>
      <c r="AA27" s="4">
        <f>_xlfn.COUNTIFS(AA14:AA17,"&lt;110",AA14:AA17,"&gt;=70")</f>
        <v>1</v>
      </c>
      <c r="AB27" s="4">
        <f>_xlfn.COUNTIFS(AB14:AB17,"&lt;7",AB14:AB17,"&gt;=4")</f>
        <v>1</v>
      </c>
      <c r="AC27" s="4">
        <f>_xlfn.COUNTIFS(AC14:AC17,"&lt;35",AC14:AC17,"&gt;=30")</f>
        <v>2</v>
      </c>
      <c r="AD27" s="4">
        <f>_xlfn.COUNTIFS(AD14:AD17,"&lt;13",AD14:AD17,"&gt;=10")</f>
        <v>1</v>
      </c>
      <c r="AE27" s="4">
        <f>_xlfn.COUNTIFS(AE14:AE17,"&gt;5,5",AE14:AE17,"&lt;=5,8")</f>
        <v>0</v>
      </c>
      <c r="AF27" s="4">
        <f>_xlfn.COUNTIFS(AF14:AF17,"&gt;7,3",AF14:AF17,"&lt;=8")</f>
        <v>0</v>
      </c>
      <c r="AG27" s="66" t="s">
        <v>153</v>
      </c>
      <c r="AH27" s="144"/>
      <c r="AI27" s="145"/>
    </row>
    <row r="28" spans="1:35" s="2" customFormat="1" ht="14.25">
      <c r="A28" s="3"/>
      <c r="B28" s="54" t="s">
        <v>141</v>
      </c>
      <c r="C28" s="50">
        <f>COUNTIF(J6:J17,"гарм.(+)")</f>
        <v>0</v>
      </c>
      <c r="D28" s="117"/>
      <c r="E28" s="3"/>
      <c r="F28" s="16"/>
      <c r="G28" s="3"/>
      <c r="H28" s="14"/>
      <c r="I28" s="14"/>
      <c r="J28" s="3"/>
      <c r="K28" s="14"/>
      <c r="L28" s="3"/>
      <c r="M28" s="3"/>
      <c r="N28" s="3"/>
      <c r="O28" s="3"/>
      <c r="P28" s="89"/>
      <c r="Q28" s="4"/>
      <c r="R28" s="4"/>
      <c r="S28" s="4"/>
      <c r="T28" s="4"/>
      <c r="U28" s="3"/>
      <c r="V28" s="80"/>
      <c r="W28" s="80"/>
      <c r="X28" s="78"/>
      <c r="Y28" s="77">
        <f>_xlfn.COUNTIFS(Y14:Y19,9,Y14:Y19,"&lt;10")</f>
        <v>1</v>
      </c>
      <c r="Z28" s="4">
        <f>_xlfn.COUNTIFS(Z14:Z17,"&lt;158",Z14:Z17,"&gt;149")</f>
        <v>0</v>
      </c>
      <c r="AA28" s="4">
        <f>_xlfn.COUNTIFS(AA14:AA17,"&lt;70",AA14:AA17,"&gt;=45")</f>
        <v>0</v>
      </c>
      <c r="AB28" s="4">
        <f>_xlfn.COUNTIFS(AB14:AB17,"&lt;4",AB14:AB17,"&gt;=2")</f>
        <v>0</v>
      </c>
      <c r="AC28" s="4">
        <f>_xlfn.COUNTIFS(AC14:AC17,"&lt;30",AC14:AC17,"&gt;=25")</f>
        <v>1</v>
      </c>
      <c r="AD28" s="4">
        <f>_xlfn.COUNTIFS(AD14:AD17,"&lt;10",AD14:AD17,"&gt;=9")</f>
        <v>0</v>
      </c>
      <c r="AE28" s="4">
        <f>_xlfn.COUNTIFS(AE14:AE17,"&gt;5,8",AE14:AE17,"&lt;=6,1")</f>
        <v>0</v>
      </c>
      <c r="AF28" s="4">
        <f>_xlfn.COUNTIFS(AF14:AF17,"&gt;8",AF14:AF17,"&lt;=8,3")</f>
        <v>0</v>
      </c>
      <c r="AG28" s="66" t="s">
        <v>154</v>
      </c>
      <c r="AH28" s="144"/>
      <c r="AI28" s="145"/>
    </row>
    <row r="29" spans="1:35" s="2" customFormat="1" ht="14.25">
      <c r="A29" s="3"/>
      <c r="B29" s="55" t="s">
        <v>142</v>
      </c>
      <c r="C29" s="50">
        <v>1</v>
      </c>
      <c r="D29" s="50">
        <f>C29*100/C24</f>
        <v>9.090909090909092</v>
      </c>
      <c r="E29" s="3"/>
      <c r="F29" s="16"/>
      <c r="G29" s="3"/>
      <c r="H29" s="14"/>
      <c r="I29" s="14"/>
      <c r="J29" s="3"/>
      <c r="K29" s="14"/>
      <c r="L29" s="3"/>
      <c r="M29" s="3"/>
      <c r="N29" s="3"/>
      <c r="O29" s="3"/>
      <c r="P29" s="11" t="s">
        <v>67</v>
      </c>
      <c r="Q29" s="4">
        <v>20.81</v>
      </c>
      <c r="R29" s="4">
        <f>(I14/H14)*(AC14/60)</f>
        <v>0.1625</v>
      </c>
      <c r="S29" s="4">
        <f aca="true" t="shared" si="0" ref="S29:S34">U14*Q14/100</f>
        <v>99.36</v>
      </c>
      <c r="T29" s="4">
        <v>102.24</v>
      </c>
      <c r="U29" s="3"/>
      <c r="V29" s="80"/>
      <c r="W29" s="80"/>
      <c r="X29" s="78"/>
      <c r="Y29" s="77">
        <f>_xlfn.COUNTIFS(Y14:Y19,"&lt;9")</f>
        <v>3</v>
      </c>
      <c r="Z29" s="4">
        <f>_xlfn.COUNTIFS(Z14:Z17,"&lt;150")</f>
        <v>1</v>
      </c>
      <c r="AA29" s="4">
        <f>_xlfn.COUNTIFS(AA14:AA17,"&lt;45")</f>
        <v>0</v>
      </c>
      <c r="AB29" s="4">
        <f>_xlfn.COUNTIFS(AB14:AB17,"&lt;2")</f>
        <v>0</v>
      </c>
      <c r="AC29" s="4">
        <f>_xlfn.COUNTIFS(AC14:AC17,"&lt;25")</f>
        <v>0</v>
      </c>
      <c r="AD29" s="4">
        <f>_xlfn.COUNTIFS(AD14:AD17,"&lt;9")</f>
        <v>3</v>
      </c>
      <c r="AE29" s="4">
        <f>_xlfn.COUNTIFS(AE14:AE17,"&gt;6,1")</f>
        <v>0</v>
      </c>
      <c r="AF29" s="4">
        <f>_xlfn.COUNTIFS(AF14:AF17,"&gt;8,3")</f>
        <v>2</v>
      </c>
      <c r="AG29" s="66" t="s">
        <v>155</v>
      </c>
      <c r="AH29" s="146"/>
      <c r="AI29" s="147"/>
    </row>
    <row r="30" spans="1:33" s="2" customFormat="1" ht="15">
      <c r="A30" s="3"/>
      <c r="B30" s="10"/>
      <c r="C30" s="3"/>
      <c r="D30" s="3"/>
      <c r="E30" s="3"/>
      <c r="F30" s="16"/>
      <c r="G30" s="3"/>
      <c r="H30" s="14"/>
      <c r="I30" s="14"/>
      <c r="J30" s="3"/>
      <c r="K30" s="14"/>
      <c r="L30" s="3"/>
      <c r="M30" s="3"/>
      <c r="N30" s="3"/>
      <c r="O30" s="3"/>
      <c r="P30" s="11" t="s">
        <v>69</v>
      </c>
      <c r="Q30" s="4">
        <v>16.88</v>
      </c>
      <c r="R30" s="4">
        <f>(I15/H15)*(AC15/60)</f>
        <v>0.16129032258064516</v>
      </c>
      <c r="S30" s="4">
        <f t="shared" si="0"/>
        <v>110.4</v>
      </c>
      <c r="T30" s="90">
        <v>121.103</v>
      </c>
      <c r="U30" s="3"/>
      <c r="V30" s="3"/>
      <c r="W30" s="3"/>
      <c r="X30" s="3"/>
      <c r="Y30" s="3"/>
      <c r="Z30" s="14"/>
      <c r="AA30" s="3"/>
      <c r="AB30" s="3"/>
      <c r="AC30" s="3"/>
      <c r="AD30" s="3"/>
      <c r="AE30" s="14"/>
      <c r="AF30" s="3"/>
      <c r="AG30" s="3"/>
    </row>
    <row r="31" spans="1:35" s="2" customFormat="1" ht="15">
      <c r="A31" s="3"/>
      <c r="B31" s="10"/>
      <c r="C31" s="3"/>
      <c r="D31" s="3"/>
      <c r="E31" s="3"/>
      <c r="F31" s="16"/>
      <c r="G31" s="3"/>
      <c r="H31" s="14"/>
      <c r="I31" s="14"/>
      <c r="J31" s="3"/>
      <c r="K31" s="14"/>
      <c r="L31" s="3"/>
      <c r="M31" s="3"/>
      <c r="N31" s="3"/>
      <c r="O31" s="3"/>
      <c r="P31" s="11" t="s">
        <v>70</v>
      </c>
      <c r="Q31" s="4">
        <v>18.9</v>
      </c>
      <c r="R31" s="4">
        <f>(I16/H16)*(AC16/60)</f>
        <v>0.15724637681159423</v>
      </c>
      <c r="S31" s="4">
        <f t="shared" si="0"/>
        <v>120</v>
      </c>
      <c r="T31" s="90">
        <v>114.9</v>
      </c>
      <c r="U31" s="3"/>
      <c r="V31" s="3"/>
      <c r="W31" s="3"/>
      <c r="X31" s="3"/>
      <c r="Y31" s="85">
        <f>SUM(Y21,Y26)</f>
        <v>3</v>
      </c>
      <c r="Z31" s="85">
        <f>SUM(Z21,Z26)</f>
        <v>5</v>
      </c>
      <c r="AA31" s="85">
        <f aca="true" t="shared" si="1" ref="AA31:AF31">SUM(AA21,AA26)</f>
        <v>6</v>
      </c>
      <c r="AB31" s="85">
        <f t="shared" si="1"/>
        <v>8</v>
      </c>
      <c r="AC31" s="85">
        <f t="shared" si="1"/>
        <v>3</v>
      </c>
      <c r="AD31" s="85">
        <f t="shared" si="1"/>
        <v>3</v>
      </c>
      <c r="AE31" s="85">
        <f t="shared" si="1"/>
        <v>9</v>
      </c>
      <c r="AF31" s="85">
        <f t="shared" si="1"/>
        <v>5</v>
      </c>
      <c r="AG31" s="66" t="s">
        <v>152</v>
      </c>
      <c r="AH31" s="130" t="s">
        <v>156</v>
      </c>
      <c r="AI31" s="131"/>
    </row>
    <row r="32" spans="16:35" s="2" customFormat="1" ht="14.25">
      <c r="P32" s="11" t="s">
        <v>71</v>
      </c>
      <c r="Q32" s="4">
        <v>17.35</v>
      </c>
      <c r="R32" s="4">
        <f>(I17/H17)*(AC17/60)</f>
        <v>0.10928571428571429</v>
      </c>
      <c r="S32" s="4">
        <f t="shared" si="0"/>
        <v>87.2</v>
      </c>
      <c r="T32" s="90">
        <v>98.19</v>
      </c>
      <c r="Y32" s="84">
        <f>SUM(Y22,Y27)</f>
        <v>1</v>
      </c>
      <c r="Z32" s="84">
        <f aca="true" t="shared" si="2" ref="Z32:AF32">SUM(Z22,Z27)</f>
        <v>2</v>
      </c>
      <c r="AA32" s="84">
        <f t="shared" si="2"/>
        <v>3</v>
      </c>
      <c r="AB32" s="84">
        <f t="shared" si="2"/>
        <v>1</v>
      </c>
      <c r="AC32" s="84">
        <f t="shared" si="2"/>
        <v>2</v>
      </c>
      <c r="AD32" s="84">
        <f t="shared" si="2"/>
        <v>1</v>
      </c>
      <c r="AE32" s="84">
        <f t="shared" si="2"/>
        <v>0</v>
      </c>
      <c r="AF32" s="84">
        <f t="shared" si="2"/>
        <v>0</v>
      </c>
      <c r="AG32" s="66" t="s">
        <v>153</v>
      </c>
      <c r="AH32" s="132"/>
      <c r="AI32" s="133"/>
    </row>
    <row r="33" spans="16:35" s="2" customFormat="1" ht="14.25">
      <c r="P33" s="11" t="s">
        <v>72</v>
      </c>
      <c r="Q33" s="4">
        <v>19.49</v>
      </c>
      <c r="R33" s="4"/>
      <c r="S33" s="4">
        <f t="shared" si="0"/>
        <v>92</v>
      </c>
      <c r="T33" s="90">
        <v>120.84</v>
      </c>
      <c r="Y33" s="86">
        <f aca="true" t="shared" si="3" ref="Y33:AF34">SUM(Y23,Y28)</f>
        <v>1</v>
      </c>
      <c r="Z33" s="86">
        <f t="shared" si="3"/>
        <v>0</v>
      </c>
      <c r="AA33" s="86">
        <f t="shared" si="3"/>
        <v>0</v>
      </c>
      <c r="AB33" s="86">
        <f t="shared" si="3"/>
        <v>0</v>
      </c>
      <c r="AC33" s="86">
        <f t="shared" si="3"/>
        <v>3</v>
      </c>
      <c r="AD33" s="86">
        <f t="shared" si="3"/>
        <v>1</v>
      </c>
      <c r="AE33" s="86">
        <f t="shared" si="3"/>
        <v>0</v>
      </c>
      <c r="AF33" s="86">
        <f t="shared" si="3"/>
        <v>1</v>
      </c>
      <c r="AG33" s="66" t="s">
        <v>154</v>
      </c>
      <c r="AH33" s="132"/>
      <c r="AI33" s="133"/>
    </row>
    <row r="34" spans="16:35" s="2" customFormat="1" ht="14.25">
      <c r="P34" s="11" t="s">
        <v>74</v>
      </c>
      <c r="Q34" s="4">
        <v>24.13</v>
      </c>
      <c r="R34" s="4"/>
      <c r="S34" s="4">
        <f t="shared" si="0"/>
        <v>65.28</v>
      </c>
      <c r="T34" s="90">
        <v>89.1</v>
      </c>
      <c r="Y34" s="83">
        <f t="shared" si="3"/>
        <v>6</v>
      </c>
      <c r="Z34" s="83">
        <f t="shared" si="3"/>
        <v>2</v>
      </c>
      <c r="AA34" s="83">
        <f t="shared" si="3"/>
        <v>0</v>
      </c>
      <c r="AB34" s="83">
        <f t="shared" si="3"/>
        <v>0</v>
      </c>
      <c r="AC34" s="83">
        <f t="shared" si="3"/>
        <v>1</v>
      </c>
      <c r="AD34" s="83">
        <f t="shared" si="3"/>
        <v>4</v>
      </c>
      <c r="AE34" s="83">
        <f t="shared" si="3"/>
        <v>0</v>
      </c>
      <c r="AF34" s="83">
        <f t="shared" si="3"/>
        <v>3</v>
      </c>
      <c r="AG34" s="66" t="s">
        <v>155</v>
      </c>
      <c r="AH34" s="134"/>
      <c r="AI34" s="135"/>
    </row>
    <row r="35" s="2" customFormat="1" ht="14.25"/>
    <row r="36" spans="25:35" s="2" customFormat="1" ht="14.25">
      <c r="Y36" s="82">
        <f>Y31*100/11</f>
        <v>27.272727272727273</v>
      </c>
      <c r="Z36" s="82">
        <f>Z31*100/9</f>
        <v>55.55555555555556</v>
      </c>
      <c r="AA36" s="82">
        <f aca="true" t="shared" si="4" ref="AA36:AF36">AA31*100/9</f>
        <v>66.66666666666667</v>
      </c>
      <c r="AB36" s="82">
        <f t="shared" si="4"/>
        <v>88.88888888888889</v>
      </c>
      <c r="AC36" s="82">
        <f t="shared" si="4"/>
        <v>33.333333333333336</v>
      </c>
      <c r="AD36" s="82">
        <f t="shared" si="4"/>
        <v>33.333333333333336</v>
      </c>
      <c r="AE36" s="82">
        <f t="shared" si="4"/>
        <v>100</v>
      </c>
      <c r="AF36" s="82">
        <f t="shared" si="4"/>
        <v>55.55555555555556</v>
      </c>
      <c r="AG36" s="66" t="s">
        <v>152</v>
      </c>
      <c r="AH36" s="136" t="s">
        <v>159</v>
      </c>
      <c r="AI36" s="137"/>
    </row>
    <row r="37" spans="25:35" s="2" customFormat="1" ht="14.25">
      <c r="Y37" s="82">
        <f>Y32*100/11</f>
        <v>9.090909090909092</v>
      </c>
      <c r="Z37" s="82">
        <f>Z32*100/9</f>
        <v>22.22222222222222</v>
      </c>
      <c r="AA37" s="82">
        <f aca="true" t="shared" si="5" ref="AA37:AF37">AA32*100/9</f>
        <v>33.333333333333336</v>
      </c>
      <c r="AB37" s="82">
        <f t="shared" si="5"/>
        <v>11.11111111111111</v>
      </c>
      <c r="AC37" s="82">
        <f t="shared" si="5"/>
        <v>22.22222222222222</v>
      </c>
      <c r="AD37" s="82">
        <f t="shared" si="5"/>
        <v>11.11111111111111</v>
      </c>
      <c r="AE37" s="82">
        <f t="shared" si="5"/>
        <v>0</v>
      </c>
      <c r="AF37" s="82">
        <f t="shared" si="5"/>
        <v>0</v>
      </c>
      <c r="AG37" s="66" t="s">
        <v>153</v>
      </c>
      <c r="AH37" s="138"/>
      <c r="AI37" s="139"/>
    </row>
    <row r="38" spans="25:35" s="2" customFormat="1" ht="14.25">
      <c r="Y38" s="82">
        <f>Y33*100/11</f>
        <v>9.090909090909092</v>
      </c>
      <c r="Z38" s="82">
        <f>Z33*100/9</f>
        <v>0</v>
      </c>
      <c r="AA38" s="82">
        <f aca="true" t="shared" si="6" ref="AA38:AF38">AA33*100/9</f>
        <v>0</v>
      </c>
      <c r="AB38" s="82">
        <f t="shared" si="6"/>
        <v>0</v>
      </c>
      <c r="AC38" s="82">
        <f t="shared" si="6"/>
        <v>33.333333333333336</v>
      </c>
      <c r="AD38" s="82">
        <f t="shared" si="6"/>
        <v>11.11111111111111</v>
      </c>
      <c r="AE38" s="82">
        <f t="shared" si="6"/>
        <v>0</v>
      </c>
      <c r="AF38" s="82">
        <f t="shared" si="6"/>
        <v>11.11111111111111</v>
      </c>
      <c r="AG38" s="66" t="s">
        <v>154</v>
      </c>
      <c r="AH38" s="138"/>
      <c r="AI38" s="139"/>
    </row>
    <row r="39" spans="25:35" s="2" customFormat="1" ht="14.25">
      <c r="Y39" s="82">
        <f>Y34*100/11</f>
        <v>54.54545454545455</v>
      </c>
      <c r="Z39" s="82">
        <f>Z34*100/9</f>
        <v>22.22222222222222</v>
      </c>
      <c r="AA39" s="82">
        <f aca="true" t="shared" si="7" ref="AA39:AF39">AA34*100/9</f>
        <v>0</v>
      </c>
      <c r="AB39" s="82">
        <f t="shared" si="7"/>
        <v>0</v>
      </c>
      <c r="AC39" s="82">
        <f t="shared" si="7"/>
        <v>11.11111111111111</v>
      </c>
      <c r="AD39" s="82">
        <f t="shared" si="7"/>
        <v>44.44444444444444</v>
      </c>
      <c r="AE39" s="82">
        <f t="shared" si="7"/>
        <v>0</v>
      </c>
      <c r="AF39" s="82">
        <f t="shared" si="7"/>
        <v>33.333333333333336</v>
      </c>
      <c r="AG39" s="66" t="s">
        <v>155</v>
      </c>
      <c r="AH39" s="140"/>
      <c r="AI39" s="141"/>
    </row>
    <row r="40" s="2" customFormat="1" ht="14.25"/>
    <row r="41" spans="25:35" s="2" customFormat="1" ht="14.25">
      <c r="Y41" s="82">
        <f>SUM(Y36:AF36)</f>
        <v>460.60606060606057</v>
      </c>
      <c r="AA41" s="129" t="s">
        <v>137</v>
      </c>
      <c r="AB41" s="129"/>
      <c r="AC41" s="129"/>
      <c r="AD41" s="129"/>
      <c r="AF41" s="82">
        <f>Y41*100/800</f>
        <v>57.57575757575757</v>
      </c>
      <c r="AG41" s="66" t="s">
        <v>152</v>
      </c>
      <c r="AH41" s="148" t="s">
        <v>164</v>
      </c>
      <c r="AI41" s="148"/>
    </row>
    <row r="42" spans="25:35" s="2" customFormat="1" ht="14.25">
      <c r="Y42" s="82">
        <f>SUM(Y37:AF37)</f>
        <v>109.0909090909091</v>
      </c>
      <c r="AA42" s="129"/>
      <c r="AB42" s="129"/>
      <c r="AC42" s="129"/>
      <c r="AD42" s="129"/>
      <c r="AF42" s="82">
        <f>Y42*100/800</f>
        <v>13.636363636363637</v>
      </c>
      <c r="AG42" s="66" t="s">
        <v>153</v>
      </c>
      <c r="AH42" s="148"/>
      <c r="AI42" s="148"/>
    </row>
    <row r="43" spans="25:35" s="2" customFormat="1" ht="14.25">
      <c r="Y43" s="82">
        <f>SUM(Y38:AF38)</f>
        <v>64.64646464646465</v>
      </c>
      <c r="AA43" s="129"/>
      <c r="AB43" s="129"/>
      <c r="AC43" s="129"/>
      <c r="AD43" s="129"/>
      <c r="AF43" s="82">
        <f>Y43*100/800</f>
        <v>8.080808080808081</v>
      </c>
      <c r="AG43" s="66" t="s">
        <v>154</v>
      </c>
      <c r="AH43" s="148"/>
      <c r="AI43" s="148"/>
    </row>
    <row r="44" spans="25:35" s="2" customFormat="1" ht="14.25">
      <c r="Y44" s="82">
        <f>SUM(Y39:AF39)</f>
        <v>165.65656565656568</v>
      </c>
      <c r="AA44" s="129"/>
      <c r="AB44" s="129"/>
      <c r="AC44" s="129"/>
      <c r="AD44" s="129"/>
      <c r="AF44" s="82">
        <f>Y44*100/800</f>
        <v>20.707070707070713</v>
      </c>
      <c r="AG44" s="66" t="s">
        <v>155</v>
      </c>
      <c r="AH44" s="148"/>
      <c r="AI44" s="148"/>
    </row>
    <row r="45" s="2" customFormat="1" ht="14.25"/>
    <row r="46" s="2" customFormat="1" ht="14.25"/>
  </sheetData>
  <sheetProtection/>
  <mergeCells count="36">
    <mergeCell ref="AH41:AI44"/>
    <mergeCell ref="Q5:X5"/>
    <mergeCell ref="Q6:R6"/>
    <mergeCell ref="S6:T6"/>
    <mergeCell ref="U6:X6"/>
    <mergeCell ref="Y5:AF5"/>
    <mergeCell ref="Z6:AA6"/>
    <mergeCell ref="AB6:AD6"/>
    <mergeCell ref="AE6:AF6"/>
    <mergeCell ref="Y6:Y7"/>
    <mergeCell ref="O6:O7"/>
    <mergeCell ref="J6:L6"/>
    <mergeCell ref="AA41:AD44"/>
    <mergeCell ref="AH31:AI34"/>
    <mergeCell ref="AH36:AI39"/>
    <mergeCell ref="AH21:AI24"/>
    <mergeCell ref="AH26:AI29"/>
    <mergeCell ref="AH8:AH10"/>
    <mergeCell ref="AH12:AH14"/>
    <mergeCell ref="AH6:AQ6"/>
    <mergeCell ref="E6:E7"/>
    <mergeCell ref="F6:F7"/>
    <mergeCell ref="G5:G7"/>
    <mergeCell ref="H6:H7"/>
    <mergeCell ref="I6:I7"/>
    <mergeCell ref="M6:N6"/>
    <mergeCell ref="B21:D21"/>
    <mergeCell ref="D26:D28"/>
    <mergeCell ref="C13:O13"/>
    <mergeCell ref="B6:B7"/>
    <mergeCell ref="P5:P7"/>
    <mergeCell ref="H5:O5"/>
    <mergeCell ref="A5:F5"/>
    <mergeCell ref="A6:A7"/>
    <mergeCell ref="C6:C7"/>
    <mergeCell ref="D6:D7"/>
  </mergeCells>
  <printOptions gridLines="1"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0" r:id="rId2"/>
  <ignoredErrors>
    <ignoredError sqref="Z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"/>
  <sheetViews>
    <sheetView zoomScale="80" zoomScaleNormal="80" zoomScalePageLayoutView="0" workbookViewId="0" topLeftCell="A13">
      <selection activeCell="Q35" sqref="Q35"/>
    </sheetView>
  </sheetViews>
  <sheetFormatPr defaultColWidth="8.421875" defaultRowHeight="12.75"/>
  <cols>
    <col min="1" max="1" width="6.57421875" style="0" customWidth="1"/>
    <col min="2" max="2" width="27.140625" style="0" customWidth="1"/>
    <col min="3" max="5" width="8.421875" style="0" bestFit="1" customWidth="1"/>
    <col min="6" max="6" width="11.28125" style="0" customWidth="1"/>
    <col min="7" max="7" width="8.421875" style="0" bestFit="1" customWidth="1"/>
    <col min="8" max="8" width="10.00390625" style="0" customWidth="1"/>
    <col min="9" max="9" width="8.421875" style="0" bestFit="1" customWidth="1"/>
    <col min="10" max="10" width="10.00390625" style="0" customWidth="1"/>
    <col min="11" max="11" width="8.421875" style="0" bestFit="1" customWidth="1"/>
    <col min="12" max="12" width="10.7109375" style="0" customWidth="1"/>
    <col min="13" max="15" width="8.421875" style="0" bestFit="1" customWidth="1"/>
    <col min="16" max="16" width="26.7109375" style="0" customWidth="1"/>
    <col min="17" max="17" width="10.140625" style="0" customWidth="1"/>
    <col min="18" max="18" width="10.00390625" style="0" customWidth="1"/>
    <col min="19" max="24" width="8.421875" style="0" bestFit="1" customWidth="1"/>
    <col min="25" max="25" width="10.140625" style="0" customWidth="1"/>
    <col min="26" max="26" width="8.421875" style="0" bestFit="1" customWidth="1"/>
    <col min="27" max="27" width="9.8515625" style="0" customWidth="1"/>
    <col min="28" max="28" width="10.8515625" style="0" customWidth="1"/>
    <col min="29" max="29" width="9.421875" style="0" customWidth="1"/>
    <col min="30" max="30" width="10.8515625" style="0" customWidth="1"/>
    <col min="31" max="32" width="8.421875" style="0" customWidth="1"/>
    <col min="33" max="33" width="10.421875" style="0" customWidth="1"/>
    <col min="34" max="34" width="9.7109375" style="0" customWidth="1"/>
    <col min="35" max="35" width="8.421875" style="0" customWidth="1"/>
    <col min="36" max="36" width="9.7109375" style="0" customWidth="1"/>
    <col min="37" max="37" width="8.421875" style="0" customWidth="1"/>
    <col min="38" max="38" width="10.421875" style="0" customWidth="1"/>
    <col min="39" max="39" width="9.8515625" style="0" customWidth="1"/>
    <col min="40" max="40" width="10.140625" style="0" customWidth="1"/>
    <col min="41" max="41" width="10.421875" style="0" customWidth="1"/>
    <col min="42" max="42" width="10.28125" style="0" customWidth="1"/>
    <col min="43" max="43" width="11.00390625" style="0" customWidth="1"/>
  </cols>
  <sheetData>
    <row r="1" spans="1:16" s="2" customFormat="1" ht="14.2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</row>
    <row r="2" spans="1:16" s="2" customFormat="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</row>
    <row r="3" spans="1:16" s="2" customFormat="1" ht="14.25">
      <c r="A3" s="18" t="s">
        <v>75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</row>
    <row r="4" spans="1:9" s="2" customFormat="1" ht="14.25">
      <c r="A4" s="1"/>
      <c r="B4" s="1"/>
      <c r="C4" s="1"/>
      <c r="D4" s="1"/>
      <c r="E4" s="1"/>
      <c r="F4" s="1"/>
      <c r="G4" s="1"/>
      <c r="H4" s="1"/>
      <c r="I4" s="1"/>
    </row>
    <row r="5" spans="1:32" s="19" customFormat="1" ht="12.75">
      <c r="A5" s="118" t="s">
        <v>22</v>
      </c>
      <c r="B5" s="119"/>
      <c r="C5" s="119"/>
      <c r="D5" s="119"/>
      <c r="E5" s="119"/>
      <c r="F5" s="120"/>
      <c r="G5" s="121" t="s">
        <v>23</v>
      </c>
      <c r="H5" s="118" t="s">
        <v>24</v>
      </c>
      <c r="I5" s="119"/>
      <c r="J5" s="119"/>
      <c r="K5" s="119"/>
      <c r="L5" s="119"/>
      <c r="M5" s="119"/>
      <c r="N5" s="119"/>
      <c r="O5" s="120"/>
      <c r="P5" s="121" t="s">
        <v>25</v>
      </c>
      <c r="Q5" s="118" t="s">
        <v>26</v>
      </c>
      <c r="R5" s="119"/>
      <c r="S5" s="119"/>
      <c r="T5" s="119"/>
      <c r="U5" s="119"/>
      <c r="V5" s="119"/>
      <c r="W5" s="119"/>
      <c r="X5" s="120"/>
      <c r="Y5" s="118" t="s">
        <v>27</v>
      </c>
      <c r="Z5" s="119"/>
      <c r="AA5" s="119"/>
      <c r="AB5" s="119"/>
      <c r="AC5" s="119"/>
      <c r="AD5" s="119"/>
      <c r="AE5" s="119"/>
      <c r="AF5" s="120"/>
    </row>
    <row r="6" spans="1:43" s="19" customFormat="1" ht="44.25" customHeight="1">
      <c r="A6" s="121" t="s">
        <v>28</v>
      </c>
      <c r="B6" s="121" t="s">
        <v>25</v>
      </c>
      <c r="C6" s="121" t="s">
        <v>12</v>
      </c>
      <c r="D6" s="121" t="s">
        <v>29</v>
      </c>
      <c r="E6" s="121" t="s">
        <v>30</v>
      </c>
      <c r="F6" s="124" t="s">
        <v>31</v>
      </c>
      <c r="G6" s="123"/>
      <c r="H6" s="121" t="s">
        <v>32</v>
      </c>
      <c r="I6" s="124" t="s">
        <v>33</v>
      </c>
      <c r="J6" s="126" t="s">
        <v>34</v>
      </c>
      <c r="K6" s="127"/>
      <c r="L6" s="128"/>
      <c r="M6" s="118" t="s">
        <v>35</v>
      </c>
      <c r="N6" s="120"/>
      <c r="O6" s="121" t="s">
        <v>36</v>
      </c>
      <c r="P6" s="123"/>
      <c r="Q6" s="126" t="s">
        <v>37</v>
      </c>
      <c r="R6" s="128"/>
      <c r="S6" s="126" t="s">
        <v>38</v>
      </c>
      <c r="T6" s="128"/>
      <c r="U6" s="126" t="s">
        <v>39</v>
      </c>
      <c r="V6" s="127"/>
      <c r="W6" s="127"/>
      <c r="X6" s="128"/>
      <c r="Y6" s="124" t="s">
        <v>40</v>
      </c>
      <c r="Z6" s="126" t="s">
        <v>41</v>
      </c>
      <c r="AA6" s="128"/>
      <c r="AB6" s="126" t="s">
        <v>42</v>
      </c>
      <c r="AC6" s="127"/>
      <c r="AD6" s="128"/>
      <c r="AE6" s="126" t="s">
        <v>43</v>
      </c>
      <c r="AF6" s="128"/>
      <c r="AG6" s="24"/>
      <c r="AH6" s="126" t="s">
        <v>151</v>
      </c>
      <c r="AI6" s="127"/>
      <c r="AJ6" s="127"/>
      <c r="AK6" s="127"/>
      <c r="AL6" s="127"/>
      <c r="AM6" s="127"/>
      <c r="AN6" s="127"/>
      <c r="AO6" s="127"/>
      <c r="AP6" s="127"/>
      <c r="AQ6" s="128"/>
    </row>
    <row r="7" spans="1:43" s="19" customFormat="1" ht="74.25" customHeight="1">
      <c r="A7" s="122"/>
      <c r="B7" s="122"/>
      <c r="C7" s="122"/>
      <c r="D7" s="122"/>
      <c r="E7" s="122"/>
      <c r="F7" s="125"/>
      <c r="G7" s="122"/>
      <c r="H7" s="122"/>
      <c r="I7" s="125"/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22"/>
      <c r="P7" s="122"/>
      <c r="Q7" s="23" t="s">
        <v>49</v>
      </c>
      <c r="R7" s="23" t="s">
        <v>50</v>
      </c>
      <c r="S7" s="23" t="s">
        <v>44</v>
      </c>
      <c r="T7" s="23" t="s">
        <v>46</v>
      </c>
      <c r="U7" s="23" t="s">
        <v>51</v>
      </c>
      <c r="V7" s="23" t="s">
        <v>52</v>
      </c>
      <c r="W7" s="23" t="s">
        <v>53</v>
      </c>
      <c r="X7" s="23" t="s">
        <v>54</v>
      </c>
      <c r="Y7" s="125"/>
      <c r="Z7" s="23" t="s">
        <v>55</v>
      </c>
      <c r="AA7" s="23" t="s">
        <v>56</v>
      </c>
      <c r="AB7" s="23" t="s">
        <v>76</v>
      </c>
      <c r="AC7" s="23" t="s">
        <v>132</v>
      </c>
      <c r="AD7" s="23" t="s">
        <v>58</v>
      </c>
      <c r="AE7" s="23" t="s">
        <v>59</v>
      </c>
      <c r="AF7" s="23" t="s">
        <v>133</v>
      </c>
      <c r="AG7" s="24"/>
      <c r="AH7" s="23" t="s">
        <v>150</v>
      </c>
      <c r="AI7" s="23" t="s">
        <v>149</v>
      </c>
      <c r="AJ7" s="76" t="s">
        <v>40</v>
      </c>
      <c r="AK7" s="23" t="s">
        <v>55</v>
      </c>
      <c r="AL7" s="23" t="s">
        <v>56</v>
      </c>
      <c r="AM7" s="23" t="s">
        <v>57</v>
      </c>
      <c r="AN7" s="23" t="s">
        <v>132</v>
      </c>
      <c r="AO7" s="23" t="s">
        <v>58</v>
      </c>
      <c r="AP7" s="23" t="s">
        <v>59</v>
      </c>
      <c r="AQ7" s="23" t="s">
        <v>133</v>
      </c>
    </row>
    <row r="8" spans="1:43" s="19" customFormat="1" ht="12.75">
      <c r="A8" s="26">
        <v>1</v>
      </c>
      <c r="B8" s="28" t="s">
        <v>77</v>
      </c>
      <c r="C8" s="11">
        <v>7</v>
      </c>
      <c r="D8" s="11" t="s">
        <v>78</v>
      </c>
      <c r="E8" s="11" t="s">
        <v>62</v>
      </c>
      <c r="F8" s="5">
        <v>35022</v>
      </c>
      <c r="G8" s="11">
        <v>13</v>
      </c>
      <c r="H8" s="11">
        <v>158</v>
      </c>
      <c r="I8" s="11">
        <v>48</v>
      </c>
      <c r="J8" s="11">
        <v>77</v>
      </c>
      <c r="K8" s="11">
        <v>73</v>
      </c>
      <c r="L8" s="11">
        <v>73</v>
      </c>
      <c r="M8" s="11"/>
      <c r="N8" s="11"/>
      <c r="O8" s="11"/>
      <c r="P8" s="28" t="s">
        <v>77</v>
      </c>
      <c r="Q8" s="11">
        <v>124</v>
      </c>
      <c r="R8" s="11">
        <v>72</v>
      </c>
      <c r="S8" s="11">
        <v>55</v>
      </c>
      <c r="T8" s="11">
        <v>40</v>
      </c>
      <c r="U8" s="11">
        <v>80</v>
      </c>
      <c r="V8" s="11">
        <v>100</v>
      </c>
      <c r="W8" s="11">
        <v>168</v>
      </c>
      <c r="X8" s="11">
        <v>88</v>
      </c>
      <c r="Y8" s="11">
        <v>8</v>
      </c>
      <c r="Z8" s="11">
        <v>202</v>
      </c>
      <c r="AA8" s="11">
        <v>184</v>
      </c>
      <c r="AB8" s="11">
        <v>25</v>
      </c>
      <c r="AC8" s="38">
        <v>43</v>
      </c>
      <c r="AD8" s="11">
        <v>6</v>
      </c>
      <c r="AE8" s="11">
        <v>4.4</v>
      </c>
      <c r="AF8" s="38">
        <v>7.27</v>
      </c>
      <c r="AH8" s="121" t="s">
        <v>147</v>
      </c>
      <c r="AI8" s="66">
        <v>5</v>
      </c>
      <c r="AJ8" s="23">
        <v>8</v>
      </c>
      <c r="AK8" s="67">
        <v>180</v>
      </c>
      <c r="AL8" s="67">
        <v>105</v>
      </c>
      <c r="AM8" s="11">
        <v>15</v>
      </c>
      <c r="AN8" s="11">
        <v>45</v>
      </c>
      <c r="AO8" s="67">
        <v>8</v>
      </c>
      <c r="AP8" s="67">
        <v>5.2</v>
      </c>
      <c r="AQ8" s="67">
        <v>7</v>
      </c>
    </row>
    <row r="9" spans="1:43" s="19" customFormat="1" ht="12.75">
      <c r="A9" s="26">
        <v>2</v>
      </c>
      <c r="B9" s="28" t="s">
        <v>79</v>
      </c>
      <c r="C9" s="11">
        <v>7</v>
      </c>
      <c r="D9" s="11" t="s">
        <v>78</v>
      </c>
      <c r="E9" s="11" t="s">
        <v>62</v>
      </c>
      <c r="F9" s="6">
        <v>34342</v>
      </c>
      <c r="G9" s="11">
        <v>14</v>
      </c>
      <c r="H9" s="11">
        <v>166</v>
      </c>
      <c r="I9" s="11">
        <v>45</v>
      </c>
      <c r="J9" s="11">
        <v>77</v>
      </c>
      <c r="K9" s="11">
        <v>72</v>
      </c>
      <c r="L9" s="11">
        <v>71</v>
      </c>
      <c r="M9" s="11"/>
      <c r="N9" s="11"/>
      <c r="O9" s="11"/>
      <c r="P9" s="28" t="s">
        <v>79</v>
      </c>
      <c r="Q9" s="11">
        <v>120</v>
      </c>
      <c r="R9" s="11">
        <v>70</v>
      </c>
      <c r="S9" s="11">
        <v>51</v>
      </c>
      <c r="T9" s="11">
        <v>50</v>
      </c>
      <c r="U9" s="11">
        <v>76</v>
      </c>
      <c r="V9" s="11">
        <v>116</v>
      </c>
      <c r="W9" s="11">
        <v>144</v>
      </c>
      <c r="X9" s="11">
        <v>96</v>
      </c>
      <c r="Y9" s="11">
        <v>7</v>
      </c>
      <c r="Z9" s="11">
        <v>186</v>
      </c>
      <c r="AA9" s="11">
        <v>146</v>
      </c>
      <c r="AB9" s="11">
        <v>18</v>
      </c>
      <c r="AC9" s="38">
        <v>43</v>
      </c>
      <c r="AD9" s="11">
        <v>5</v>
      </c>
      <c r="AE9" s="11">
        <v>4.5</v>
      </c>
      <c r="AF9" s="38">
        <v>6.57</v>
      </c>
      <c r="AH9" s="123"/>
      <c r="AI9" s="66">
        <v>4</v>
      </c>
      <c r="AJ9" s="11">
        <v>6</v>
      </c>
      <c r="AK9" s="11">
        <v>175</v>
      </c>
      <c r="AL9" s="11">
        <v>95</v>
      </c>
      <c r="AM9" s="11">
        <v>8</v>
      </c>
      <c r="AN9" s="11">
        <v>40</v>
      </c>
      <c r="AO9" s="11">
        <v>6</v>
      </c>
      <c r="AP9" s="11">
        <v>5.5</v>
      </c>
      <c r="AQ9" s="11">
        <v>7.3</v>
      </c>
    </row>
    <row r="10" spans="1:43" s="19" customFormat="1" ht="12.75">
      <c r="A10" s="26">
        <v>3</v>
      </c>
      <c r="B10" s="28" t="s">
        <v>80</v>
      </c>
      <c r="C10" s="11">
        <v>7</v>
      </c>
      <c r="D10" s="11" t="s">
        <v>78</v>
      </c>
      <c r="E10" s="11" t="s">
        <v>62</v>
      </c>
      <c r="F10" s="6">
        <v>34911</v>
      </c>
      <c r="G10" s="11">
        <v>13</v>
      </c>
      <c r="H10" s="11">
        <v>150</v>
      </c>
      <c r="I10" s="11">
        <v>44</v>
      </c>
      <c r="J10" s="11">
        <v>75</v>
      </c>
      <c r="K10" s="11">
        <v>70</v>
      </c>
      <c r="L10" s="11">
        <v>70</v>
      </c>
      <c r="M10" s="11"/>
      <c r="N10" s="11"/>
      <c r="O10" s="11"/>
      <c r="P10" s="28" t="s">
        <v>80</v>
      </c>
      <c r="Q10" s="11">
        <v>126</v>
      </c>
      <c r="R10" s="11">
        <v>72</v>
      </c>
      <c r="S10" s="11">
        <v>73</v>
      </c>
      <c r="T10" s="11">
        <v>49</v>
      </c>
      <c r="U10" s="11">
        <v>76</v>
      </c>
      <c r="V10" s="11">
        <v>100</v>
      </c>
      <c r="W10" s="11">
        <v>156</v>
      </c>
      <c r="X10" s="11">
        <v>84</v>
      </c>
      <c r="Y10" s="11">
        <v>6</v>
      </c>
      <c r="Z10" s="11">
        <v>166</v>
      </c>
      <c r="AA10" s="11">
        <v>134</v>
      </c>
      <c r="AB10" s="11">
        <v>25</v>
      </c>
      <c r="AC10" s="38">
        <v>41</v>
      </c>
      <c r="AD10" s="11">
        <v>13</v>
      </c>
      <c r="AE10" s="11">
        <v>4.8</v>
      </c>
      <c r="AF10" s="38">
        <v>6.58</v>
      </c>
      <c r="AH10" s="123"/>
      <c r="AI10" s="72">
        <v>3</v>
      </c>
      <c r="AJ10" s="15">
        <v>5</v>
      </c>
      <c r="AK10" s="15">
        <v>170</v>
      </c>
      <c r="AL10" s="15">
        <v>85</v>
      </c>
      <c r="AM10" s="15">
        <v>4</v>
      </c>
      <c r="AN10" s="15">
        <v>35</v>
      </c>
      <c r="AO10" s="15">
        <v>5</v>
      </c>
      <c r="AP10" s="15">
        <v>5.8</v>
      </c>
      <c r="AQ10" s="15">
        <v>8</v>
      </c>
    </row>
    <row r="11" spans="1:43" s="19" customFormat="1" ht="12.75">
      <c r="A11" s="26">
        <v>4</v>
      </c>
      <c r="B11" s="29" t="s">
        <v>81</v>
      </c>
      <c r="C11" s="11">
        <v>7</v>
      </c>
      <c r="D11" s="11" t="s">
        <v>78</v>
      </c>
      <c r="E11" s="11" t="s">
        <v>62</v>
      </c>
      <c r="F11" s="6">
        <v>35001</v>
      </c>
      <c r="G11" s="11">
        <v>13</v>
      </c>
      <c r="H11" s="11">
        <v>151</v>
      </c>
      <c r="I11" s="11">
        <v>40</v>
      </c>
      <c r="J11" s="11">
        <v>70</v>
      </c>
      <c r="K11" s="11">
        <v>64</v>
      </c>
      <c r="L11" s="11">
        <v>63</v>
      </c>
      <c r="M11" s="11"/>
      <c r="N11" s="11"/>
      <c r="O11" s="11"/>
      <c r="P11" s="29" t="s">
        <v>81</v>
      </c>
      <c r="Q11" s="11">
        <v>126</v>
      </c>
      <c r="R11" s="11">
        <v>70</v>
      </c>
      <c r="S11" s="11">
        <v>40</v>
      </c>
      <c r="T11" s="11">
        <v>30</v>
      </c>
      <c r="U11" s="11">
        <v>74</v>
      </c>
      <c r="V11" s="11">
        <v>96</v>
      </c>
      <c r="W11" s="11">
        <v>152</v>
      </c>
      <c r="X11" s="11">
        <v>96</v>
      </c>
      <c r="Y11" s="11">
        <v>11</v>
      </c>
      <c r="Z11" s="11">
        <v>177</v>
      </c>
      <c r="AA11" s="11">
        <v>126</v>
      </c>
      <c r="AB11" s="11">
        <v>14</v>
      </c>
      <c r="AC11" s="38">
        <v>45</v>
      </c>
      <c r="AD11" s="11">
        <v>3</v>
      </c>
      <c r="AE11" s="11">
        <v>4.9</v>
      </c>
      <c r="AF11" s="38">
        <v>7.27</v>
      </c>
      <c r="AH11" s="75"/>
      <c r="AI11" s="43"/>
      <c r="AJ11" s="43"/>
      <c r="AK11" s="43"/>
      <c r="AL11" s="43"/>
      <c r="AM11" s="43"/>
      <c r="AN11" s="43"/>
      <c r="AO11" s="43"/>
      <c r="AP11" s="43"/>
      <c r="AQ11" s="28"/>
    </row>
    <row r="12" spans="1:43" s="19" customFormat="1" ht="12.75">
      <c r="A12" s="26">
        <v>5</v>
      </c>
      <c r="B12" s="29" t="s">
        <v>82</v>
      </c>
      <c r="C12" s="11">
        <v>7</v>
      </c>
      <c r="D12" s="11" t="s">
        <v>78</v>
      </c>
      <c r="E12" s="11" t="s">
        <v>62</v>
      </c>
      <c r="F12" s="7">
        <v>34894</v>
      </c>
      <c r="G12" s="11">
        <v>13</v>
      </c>
      <c r="H12" s="11">
        <v>154</v>
      </c>
      <c r="I12" s="11">
        <v>41</v>
      </c>
      <c r="J12" s="11">
        <v>73</v>
      </c>
      <c r="K12" s="11">
        <v>69</v>
      </c>
      <c r="L12" s="11">
        <v>67</v>
      </c>
      <c r="M12" s="11"/>
      <c r="N12" s="11"/>
      <c r="O12" s="11"/>
      <c r="P12" s="29" t="s">
        <v>82</v>
      </c>
      <c r="Q12" s="11">
        <v>115</v>
      </c>
      <c r="R12" s="11">
        <v>68</v>
      </c>
      <c r="S12" s="11">
        <v>56</v>
      </c>
      <c r="T12" s="11">
        <v>37</v>
      </c>
      <c r="U12" s="11">
        <v>72</v>
      </c>
      <c r="V12" s="11">
        <v>80</v>
      </c>
      <c r="W12" s="11">
        <v>132</v>
      </c>
      <c r="X12" s="11">
        <v>108</v>
      </c>
      <c r="Y12" s="11">
        <v>4</v>
      </c>
      <c r="Z12" s="11">
        <v>175</v>
      </c>
      <c r="AA12" s="11">
        <v>139</v>
      </c>
      <c r="AB12" s="11">
        <v>16</v>
      </c>
      <c r="AC12" s="38">
        <v>46</v>
      </c>
      <c r="AD12" s="11">
        <v>3</v>
      </c>
      <c r="AE12" s="11">
        <v>4.9</v>
      </c>
      <c r="AF12" s="38">
        <v>7.53</v>
      </c>
      <c r="AH12" s="121" t="s">
        <v>148</v>
      </c>
      <c r="AI12" s="73">
        <v>5</v>
      </c>
      <c r="AJ12" s="12">
        <v>13</v>
      </c>
      <c r="AK12" s="12">
        <v>165</v>
      </c>
      <c r="AL12" s="12">
        <v>110</v>
      </c>
      <c r="AM12" s="12">
        <v>7</v>
      </c>
      <c r="AN12" s="12">
        <v>35</v>
      </c>
      <c r="AO12" s="12">
        <v>13</v>
      </c>
      <c r="AP12" s="12">
        <v>5.5</v>
      </c>
      <c r="AQ12" s="12">
        <v>7.3</v>
      </c>
    </row>
    <row r="13" spans="1:43" s="19" customFormat="1" ht="12.75">
      <c r="A13" s="26">
        <v>6</v>
      </c>
      <c r="B13" s="28" t="s">
        <v>83</v>
      </c>
      <c r="C13" s="11">
        <v>7</v>
      </c>
      <c r="D13" s="11" t="s">
        <v>78</v>
      </c>
      <c r="E13" s="11" t="s">
        <v>62</v>
      </c>
      <c r="F13" s="7">
        <v>34879</v>
      </c>
      <c r="G13" s="11">
        <v>13</v>
      </c>
      <c r="H13" s="11">
        <v>149</v>
      </c>
      <c r="I13" s="11">
        <v>45</v>
      </c>
      <c r="J13" s="11">
        <v>72</v>
      </c>
      <c r="K13" s="11">
        <v>71</v>
      </c>
      <c r="L13" s="11">
        <v>69</v>
      </c>
      <c r="M13" s="11"/>
      <c r="N13" s="11"/>
      <c r="O13" s="11"/>
      <c r="P13" s="28" t="s">
        <v>83</v>
      </c>
      <c r="Q13" s="11">
        <v>100</v>
      </c>
      <c r="R13" s="11">
        <v>65</v>
      </c>
      <c r="S13" s="11">
        <v>45</v>
      </c>
      <c r="T13" s="11">
        <v>40</v>
      </c>
      <c r="U13" s="11">
        <v>60</v>
      </c>
      <c r="V13" s="11">
        <v>64</v>
      </c>
      <c r="W13" s="11">
        <v>128</v>
      </c>
      <c r="X13" s="11">
        <v>120</v>
      </c>
      <c r="Y13" s="11">
        <v>9</v>
      </c>
      <c r="Z13" s="11">
        <v>185</v>
      </c>
      <c r="AA13" s="11">
        <v>124</v>
      </c>
      <c r="AB13" s="11">
        <v>16</v>
      </c>
      <c r="AC13" s="38">
        <v>46</v>
      </c>
      <c r="AD13" s="11">
        <v>7</v>
      </c>
      <c r="AE13" s="11">
        <v>4.9</v>
      </c>
      <c r="AF13" s="38">
        <v>10.1</v>
      </c>
      <c r="AH13" s="123"/>
      <c r="AI13" s="66">
        <v>4</v>
      </c>
      <c r="AJ13" s="11">
        <v>10</v>
      </c>
      <c r="AK13" s="11">
        <v>158</v>
      </c>
      <c r="AL13" s="11">
        <v>70</v>
      </c>
      <c r="AM13" s="11">
        <v>4</v>
      </c>
      <c r="AN13" s="11">
        <v>30</v>
      </c>
      <c r="AO13" s="11">
        <v>10</v>
      </c>
      <c r="AP13" s="11">
        <v>5.8</v>
      </c>
      <c r="AQ13" s="11">
        <v>8</v>
      </c>
    </row>
    <row r="14" spans="1:43" s="19" customFormat="1" ht="12.75">
      <c r="A14" s="26">
        <v>7</v>
      </c>
      <c r="B14" s="28" t="s">
        <v>84</v>
      </c>
      <c r="C14" s="11">
        <v>7</v>
      </c>
      <c r="D14" s="11" t="s">
        <v>78</v>
      </c>
      <c r="E14" s="11" t="s">
        <v>62</v>
      </c>
      <c r="F14" s="6">
        <v>35220</v>
      </c>
      <c r="G14" s="11">
        <v>12</v>
      </c>
      <c r="H14" s="11">
        <v>149</v>
      </c>
      <c r="I14" s="11">
        <v>40</v>
      </c>
      <c r="J14" s="11">
        <v>70</v>
      </c>
      <c r="K14" s="11">
        <v>66</v>
      </c>
      <c r="L14" s="11">
        <v>64</v>
      </c>
      <c r="M14" s="11"/>
      <c r="N14" s="11"/>
      <c r="O14" s="11"/>
      <c r="P14" s="28" t="s">
        <v>84</v>
      </c>
      <c r="Q14" s="11">
        <v>130</v>
      </c>
      <c r="R14" s="11">
        <v>70</v>
      </c>
      <c r="S14" s="11">
        <v>51</v>
      </c>
      <c r="T14" s="11">
        <v>41</v>
      </c>
      <c r="U14" s="11">
        <v>84</v>
      </c>
      <c r="V14" s="11">
        <v>98</v>
      </c>
      <c r="W14" s="11">
        <v>168</v>
      </c>
      <c r="X14" s="11">
        <v>108</v>
      </c>
      <c r="Y14" s="11">
        <v>13</v>
      </c>
      <c r="Z14" s="11">
        <v>160</v>
      </c>
      <c r="AA14" s="11">
        <v>111</v>
      </c>
      <c r="AB14" s="11">
        <v>12</v>
      </c>
      <c r="AC14" s="38">
        <v>40</v>
      </c>
      <c r="AD14" s="11">
        <v>3</v>
      </c>
      <c r="AE14" s="11">
        <v>5.1</v>
      </c>
      <c r="AF14" s="38">
        <v>7.05</v>
      </c>
      <c r="AH14" s="122"/>
      <c r="AI14" s="66">
        <v>3</v>
      </c>
      <c r="AJ14" s="11">
        <v>9</v>
      </c>
      <c r="AK14" s="11">
        <v>150</v>
      </c>
      <c r="AL14" s="11">
        <v>45</v>
      </c>
      <c r="AM14" s="11">
        <v>2</v>
      </c>
      <c r="AN14" s="11">
        <v>25</v>
      </c>
      <c r="AO14" s="11">
        <v>9</v>
      </c>
      <c r="AP14" s="11">
        <v>6.1</v>
      </c>
      <c r="AQ14" s="68">
        <v>8.3</v>
      </c>
    </row>
    <row r="15" spans="1:32" s="19" customFormat="1" ht="12.75">
      <c r="A15" s="26">
        <v>8</v>
      </c>
      <c r="B15" s="14" t="s">
        <v>85</v>
      </c>
      <c r="C15" s="11">
        <v>7</v>
      </c>
      <c r="D15" s="11" t="s">
        <v>78</v>
      </c>
      <c r="E15" s="11" t="s">
        <v>62</v>
      </c>
      <c r="F15" s="6">
        <v>35055</v>
      </c>
      <c r="G15" s="11">
        <v>13</v>
      </c>
      <c r="H15" s="11">
        <v>154</v>
      </c>
      <c r="I15" s="11">
        <v>40</v>
      </c>
      <c r="J15" s="11">
        <v>71</v>
      </c>
      <c r="K15" s="11">
        <v>68</v>
      </c>
      <c r="L15" s="11">
        <v>66</v>
      </c>
      <c r="M15" s="11"/>
      <c r="N15" s="11"/>
      <c r="O15" s="11"/>
      <c r="P15" s="14" t="s">
        <v>85</v>
      </c>
      <c r="Q15" s="11">
        <v>120</v>
      </c>
      <c r="R15" s="11">
        <v>72</v>
      </c>
      <c r="S15" s="11">
        <v>50</v>
      </c>
      <c r="T15" s="11">
        <v>50</v>
      </c>
      <c r="U15" s="11">
        <v>100</v>
      </c>
      <c r="V15" s="11">
        <v>118</v>
      </c>
      <c r="W15" s="11">
        <v>192</v>
      </c>
      <c r="X15" s="11">
        <v>84</v>
      </c>
      <c r="Y15" s="11">
        <v>4</v>
      </c>
      <c r="Z15" s="11">
        <v>187</v>
      </c>
      <c r="AA15" s="11">
        <v>79</v>
      </c>
      <c r="AB15" s="11">
        <v>26</v>
      </c>
      <c r="AC15" s="38">
        <v>40</v>
      </c>
      <c r="AD15" s="11">
        <v>6</v>
      </c>
      <c r="AE15" s="11">
        <v>4.7</v>
      </c>
      <c r="AF15" s="38">
        <v>9.35</v>
      </c>
    </row>
    <row r="16" spans="1:32" s="19" customFormat="1" ht="12.75">
      <c r="A16" s="26">
        <v>9</v>
      </c>
      <c r="B16" s="28" t="s">
        <v>86</v>
      </c>
      <c r="C16" s="11">
        <v>7</v>
      </c>
      <c r="D16" s="11" t="s">
        <v>78</v>
      </c>
      <c r="E16" s="11" t="s">
        <v>62</v>
      </c>
      <c r="F16" s="8">
        <v>34836</v>
      </c>
      <c r="G16" s="11">
        <v>13</v>
      </c>
      <c r="H16" s="11">
        <v>158</v>
      </c>
      <c r="I16" s="11">
        <v>55</v>
      </c>
      <c r="J16" s="11">
        <v>84</v>
      </c>
      <c r="K16" s="11">
        <v>82</v>
      </c>
      <c r="L16" s="11">
        <v>81</v>
      </c>
      <c r="M16" s="11"/>
      <c r="N16" s="11"/>
      <c r="O16" s="11"/>
      <c r="P16" s="28" t="s">
        <v>86</v>
      </c>
      <c r="Q16" s="11">
        <v>125</v>
      </c>
      <c r="R16" s="11">
        <v>72</v>
      </c>
      <c r="S16" s="11">
        <v>71</v>
      </c>
      <c r="T16" s="11">
        <v>35</v>
      </c>
      <c r="U16" s="11">
        <v>76</v>
      </c>
      <c r="V16" s="11">
        <v>116</v>
      </c>
      <c r="W16" s="11">
        <v>156</v>
      </c>
      <c r="X16" s="11">
        <v>84</v>
      </c>
      <c r="Y16" s="11">
        <v>6</v>
      </c>
      <c r="Z16" s="11">
        <v>150</v>
      </c>
      <c r="AA16" s="11">
        <v>104</v>
      </c>
      <c r="AB16" s="11">
        <v>17</v>
      </c>
      <c r="AC16" s="38">
        <v>33</v>
      </c>
      <c r="AD16" s="11">
        <v>3</v>
      </c>
      <c r="AE16" s="11">
        <v>5.1</v>
      </c>
      <c r="AF16" s="38">
        <v>8.45</v>
      </c>
    </row>
    <row r="17" spans="1:32" s="19" customFormat="1" ht="12.75">
      <c r="A17" s="26">
        <v>10</v>
      </c>
      <c r="B17" s="28" t="s">
        <v>87</v>
      </c>
      <c r="C17" s="11">
        <v>7</v>
      </c>
      <c r="D17" s="11" t="s">
        <v>78</v>
      </c>
      <c r="E17" s="11" t="s">
        <v>62</v>
      </c>
      <c r="F17" s="6">
        <v>35188</v>
      </c>
      <c r="G17" s="11">
        <v>12</v>
      </c>
      <c r="H17" s="11">
        <v>154</v>
      </c>
      <c r="I17" s="11">
        <v>45</v>
      </c>
      <c r="J17" s="11">
        <v>76</v>
      </c>
      <c r="K17" s="11">
        <v>73</v>
      </c>
      <c r="L17" s="11">
        <v>70</v>
      </c>
      <c r="M17" s="11"/>
      <c r="N17" s="11"/>
      <c r="O17" s="11"/>
      <c r="P17" s="28" t="s">
        <v>87</v>
      </c>
      <c r="Q17" s="11">
        <v>124</v>
      </c>
      <c r="R17" s="11">
        <v>73</v>
      </c>
      <c r="S17" s="11">
        <v>60</v>
      </c>
      <c r="T17" s="11">
        <v>35</v>
      </c>
      <c r="U17" s="11">
        <v>100</v>
      </c>
      <c r="V17" s="11">
        <v>118</v>
      </c>
      <c r="W17" s="11">
        <v>160</v>
      </c>
      <c r="X17" s="11">
        <v>120</v>
      </c>
      <c r="Y17" s="11">
        <v>9</v>
      </c>
      <c r="Z17" s="11">
        <v>177</v>
      </c>
      <c r="AA17" s="11">
        <v>118</v>
      </c>
      <c r="AB17" s="11">
        <v>18</v>
      </c>
      <c r="AC17" s="38">
        <v>37</v>
      </c>
      <c r="AD17" s="11">
        <v>4</v>
      </c>
      <c r="AE17" s="11">
        <v>5</v>
      </c>
      <c r="AF17" s="38">
        <v>7.54</v>
      </c>
    </row>
    <row r="18" spans="1:32" s="19" customFormat="1" ht="12.75">
      <c r="A18" s="26">
        <v>11</v>
      </c>
      <c r="B18" s="28" t="s">
        <v>88</v>
      </c>
      <c r="C18" s="11">
        <v>7</v>
      </c>
      <c r="D18" s="11" t="s">
        <v>78</v>
      </c>
      <c r="E18" s="11" t="s">
        <v>62</v>
      </c>
      <c r="F18" s="6">
        <v>34804</v>
      </c>
      <c r="G18" s="11">
        <v>13</v>
      </c>
      <c r="H18" s="11">
        <v>172</v>
      </c>
      <c r="I18" s="11">
        <v>56</v>
      </c>
      <c r="J18" s="11">
        <v>80</v>
      </c>
      <c r="K18" s="11">
        <v>74</v>
      </c>
      <c r="L18" s="11">
        <v>73</v>
      </c>
      <c r="M18" s="11"/>
      <c r="N18" s="11"/>
      <c r="O18" s="11"/>
      <c r="P18" s="28" t="s">
        <v>88</v>
      </c>
      <c r="Q18" s="15">
        <v>120</v>
      </c>
      <c r="R18" s="15">
        <v>70</v>
      </c>
      <c r="S18" s="15">
        <v>60</v>
      </c>
      <c r="T18" s="15">
        <v>45</v>
      </c>
      <c r="U18" s="15">
        <v>84</v>
      </c>
      <c r="V18" s="15">
        <v>104</v>
      </c>
      <c r="W18" s="15">
        <v>164</v>
      </c>
      <c r="X18" s="15">
        <v>100</v>
      </c>
      <c r="Y18" s="15">
        <v>6</v>
      </c>
      <c r="Z18" s="15">
        <v>169</v>
      </c>
      <c r="AA18" s="15">
        <v>96</v>
      </c>
      <c r="AB18" s="15">
        <v>12</v>
      </c>
      <c r="AC18" s="41">
        <v>37</v>
      </c>
      <c r="AD18" s="15">
        <v>0</v>
      </c>
      <c r="AE18" s="15">
        <v>5.1</v>
      </c>
      <c r="AF18" s="41">
        <v>8</v>
      </c>
    </row>
    <row r="19" spans="1:32" s="19" customFormat="1" ht="12.75">
      <c r="A19" s="27"/>
      <c r="B19" s="3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30"/>
      <c r="Q19" s="42"/>
      <c r="R19" s="43"/>
      <c r="S19" s="43"/>
      <c r="T19" s="43"/>
      <c r="U19" s="43"/>
      <c r="V19" s="43"/>
      <c r="W19" s="43"/>
      <c r="X19" s="43"/>
      <c r="Y19" s="42"/>
      <c r="Z19" s="60"/>
      <c r="AA19" s="43"/>
      <c r="AB19" s="43"/>
      <c r="AC19" s="43"/>
      <c r="AD19" s="43"/>
      <c r="AE19" s="60"/>
      <c r="AF19" s="63"/>
    </row>
    <row r="20" spans="1:32" s="19" customFormat="1" ht="12.75">
      <c r="A20" s="26">
        <v>12</v>
      </c>
      <c r="B20" s="28" t="s">
        <v>89</v>
      </c>
      <c r="C20" s="11">
        <v>7</v>
      </c>
      <c r="D20" s="11" t="s">
        <v>78</v>
      </c>
      <c r="E20" s="11" t="s">
        <v>68</v>
      </c>
      <c r="F20" s="6">
        <v>35070</v>
      </c>
      <c r="G20" s="11">
        <v>12</v>
      </c>
      <c r="H20" s="11">
        <v>165</v>
      </c>
      <c r="I20" s="11">
        <v>61</v>
      </c>
      <c r="J20" s="11">
        <v>78</v>
      </c>
      <c r="K20" s="11">
        <v>75</v>
      </c>
      <c r="L20" s="11">
        <v>75</v>
      </c>
      <c r="M20" s="11"/>
      <c r="N20" s="11"/>
      <c r="O20" s="11"/>
      <c r="P20" s="28" t="s">
        <v>89</v>
      </c>
      <c r="Q20" s="12">
        <v>127</v>
      </c>
      <c r="R20" s="12">
        <v>75</v>
      </c>
      <c r="S20" s="12">
        <v>71</v>
      </c>
      <c r="T20" s="12">
        <v>33</v>
      </c>
      <c r="U20" s="12">
        <v>52</v>
      </c>
      <c r="V20" s="12">
        <v>104</v>
      </c>
      <c r="W20" s="12">
        <v>140</v>
      </c>
      <c r="X20" s="12">
        <v>88</v>
      </c>
      <c r="Y20" s="12">
        <v>18</v>
      </c>
      <c r="Z20" s="12">
        <v>156</v>
      </c>
      <c r="AA20" s="12">
        <v>133</v>
      </c>
      <c r="AB20" s="12">
        <v>15</v>
      </c>
      <c r="AC20" s="40">
        <v>35</v>
      </c>
      <c r="AD20" s="12">
        <v>5</v>
      </c>
      <c r="AE20" s="12">
        <v>5.4</v>
      </c>
      <c r="AF20" s="40">
        <v>8.39</v>
      </c>
    </row>
    <row r="21" spans="1:32" s="19" customFormat="1" ht="12.75">
      <c r="A21" s="26">
        <v>13</v>
      </c>
      <c r="B21" s="28" t="s">
        <v>90</v>
      </c>
      <c r="C21" s="11">
        <v>7</v>
      </c>
      <c r="D21" s="11" t="s">
        <v>78</v>
      </c>
      <c r="E21" s="11" t="s">
        <v>68</v>
      </c>
      <c r="F21" s="6">
        <v>34731</v>
      </c>
      <c r="G21" s="11">
        <v>13</v>
      </c>
      <c r="H21" s="12">
        <v>167</v>
      </c>
      <c r="I21" s="11">
        <v>41</v>
      </c>
      <c r="J21" s="11">
        <v>66</v>
      </c>
      <c r="K21" s="12">
        <v>63</v>
      </c>
      <c r="L21" s="11">
        <v>62</v>
      </c>
      <c r="M21" s="11"/>
      <c r="N21" s="11"/>
      <c r="O21" s="11"/>
      <c r="P21" s="28" t="s">
        <v>90</v>
      </c>
      <c r="Q21" s="11">
        <v>92</v>
      </c>
      <c r="R21" s="11">
        <v>60</v>
      </c>
      <c r="S21" s="11">
        <v>43</v>
      </c>
      <c r="T21" s="11">
        <v>37</v>
      </c>
      <c r="U21" s="11">
        <v>84</v>
      </c>
      <c r="V21" s="11">
        <v>96</v>
      </c>
      <c r="W21" s="11">
        <v>176</v>
      </c>
      <c r="X21" s="11">
        <v>120</v>
      </c>
      <c r="Y21" s="11">
        <v>11</v>
      </c>
      <c r="Z21" s="12">
        <v>155</v>
      </c>
      <c r="AA21" s="11">
        <v>136</v>
      </c>
      <c r="AB21" s="11">
        <v>9</v>
      </c>
      <c r="AC21" s="38">
        <v>30</v>
      </c>
      <c r="AD21" s="11">
        <v>3</v>
      </c>
      <c r="AE21" s="12">
        <v>5</v>
      </c>
      <c r="AF21" s="38">
        <v>9</v>
      </c>
    </row>
    <row r="22" spans="1:32" s="19" customFormat="1" ht="12.75">
      <c r="A22" s="26">
        <v>14</v>
      </c>
      <c r="B22" s="28" t="s">
        <v>91</v>
      </c>
      <c r="C22" s="11">
        <v>7</v>
      </c>
      <c r="D22" s="11" t="s">
        <v>78</v>
      </c>
      <c r="E22" s="11" t="s">
        <v>68</v>
      </c>
      <c r="F22" s="6">
        <v>35118</v>
      </c>
      <c r="G22" s="11">
        <v>12</v>
      </c>
      <c r="H22" s="11">
        <v>152</v>
      </c>
      <c r="I22" s="11">
        <v>41</v>
      </c>
      <c r="J22" s="11">
        <v>69</v>
      </c>
      <c r="K22" s="11">
        <v>66</v>
      </c>
      <c r="L22" s="11">
        <v>63</v>
      </c>
      <c r="M22" s="11"/>
      <c r="N22" s="11"/>
      <c r="O22" s="11"/>
      <c r="P22" s="28" t="s">
        <v>91</v>
      </c>
      <c r="Q22" s="11">
        <v>100</v>
      </c>
      <c r="R22" s="11">
        <v>70</v>
      </c>
      <c r="S22" s="11">
        <v>46</v>
      </c>
      <c r="T22" s="11">
        <v>33</v>
      </c>
      <c r="U22" s="11">
        <v>76</v>
      </c>
      <c r="V22" s="11">
        <v>76</v>
      </c>
      <c r="W22" s="11">
        <v>152</v>
      </c>
      <c r="X22" s="11">
        <v>84</v>
      </c>
      <c r="Y22" s="11">
        <v>17</v>
      </c>
      <c r="Z22" s="11">
        <v>152</v>
      </c>
      <c r="AA22" s="11">
        <v>116</v>
      </c>
      <c r="AB22" s="11">
        <v>14</v>
      </c>
      <c r="AC22" s="38">
        <v>30</v>
      </c>
      <c r="AD22" s="11">
        <v>6</v>
      </c>
      <c r="AE22" s="11">
        <v>5.1</v>
      </c>
      <c r="AF22" s="38">
        <v>8</v>
      </c>
    </row>
    <row r="23" spans="1:32" s="19" customFormat="1" ht="12.75">
      <c r="A23" s="26">
        <v>15</v>
      </c>
      <c r="B23" s="28" t="s">
        <v>92</v>
      </c>
      <c r="C23" s="11">
        <v>7</v>
      </c>
      <c r="D23" s="11" t="s">
        <v>78</v>
      </c>
      <c r="E23" s="11" t="s">
        <v>68</v>
      </c>
      <c r="F23" s="6">
        <v>35071</v>
      </c>
      <c r="G23" s="11">
        <v>12</v>
      </c>
      <c r="H23" s="11">
        <v>167</v>
      </c>
      <c r="I23" s="11">
        <v>58</v>
      </c>
      <c r="J23" s="11">
        <v>76</v>
      </c>
      <c r="K23" s="11">
        <v>74</v>
      </c>
      <c r="L23" s="11">
        <v>72</v>
      </c>
      <c r="M23" s="11"/>
      <c r="N23" s="11"/>
      <c r="O23" s="11"/>
      <c r="P23" s="28" t="s">
        <v>92</v>
      </c>
      <c r="Q23" s="11">
        <v>105</v>
      </c>
      <c r="R23" s="11">
        <v>75</v>
      </c>
      <c r="S23" s="11">
        <v>43</v>
      </c>
      <c r="T23" s="11">
        <v>34</v>
      </c>
      <c r="U23" s="11">
        <v>80</v>
      </c>
      <c r="V23" s="11">
        <v>96</v>
      </c>
      <c r="W23" s="11">
        <v>148</v>
      </c>
      <c r="X23" s="11">
        <v>140</v>
      </c>
      <c r="Y23" s="11">
        <v>9</v>
      </c>
      <c r="Z23" s="11">
        <v>148</v>
      </c>
      <c r="AA23" s="11">
        <v>117</v>
      </c>
      <c r="AB23" s="11">
        <v>4</v>
      </c>
      <c r="AC23" s="38">
        <v>36</v>
      </c>
      <c r="AD23" s="11">
        <v>6</v>
      </c>
      <c r="AE23" s="11">
        <v>5.2</v>
      </c>
      <c r="AF23" s="38">
        <v>8</v>
      </c>
    </row>
    <row r="24" spans="1:32" s="19" customFormat="1" ht="12.75">
      <c r="A24" s="26">
        <v>16</v>
      </c>
      <c r="B24" s="31" t="s">
        <v>93</v>
      </c>
      <c r="C24" s="11">
        <v>7</v>
      </c>
      <c r="D24" s="11" t="s">
        <v>78</v>
      </c>
      <c r="E24" s="11" t="s">
        <v>68</v>
      </c>
      <c r="F24" s="9">
        <v>35198</v>
      </c>
      <c r="G24" s="11">
        <v>12</v>
      </c>
      <c r="H24" s="11">
        <v>155</v>
      </c>
      <c r="I24" s="11">
        <v>42</v>
      </c>
      <c r="J24" s="11">
        <v>68</v>
      </c>
      <c r="K24" s="11">
        <v>67</v>
      </c>
      <c r="L24" s="11">
        <v>66</v>
      </c>
      <c r="M24" s="11"/>
      <c r="N24" s="11"/>
      <c r="O24" s="11"/>
      <c r="P24" s="31" t="s">
        <v>93</v>
      </c>
      <c r="Q24" s="11">
        <v>104</v>
      </c>
      <c r="R24" s="11">
        <v>65</v>
      </c>
      <c r="S24" s="11">
        <v>52</v>
      </c>
      <c r="T24" s="11">
        <v>33</v>
      </c>
      <c r="U24" s="11">
        <v>96</v>
      </c>
      <c r="V24" s="11">
        <v>124</v>
      </c>
      <c r="W24" s="11">
        <v>152</v>
      </c>
      <c r="X24" s="11">
        <v>96</v>
      </c>
      <c r="Y24" s="12">
        <v>-2</v>
      </c>
      <c r="Z24" s="11">
        <v>154</v>
      </c>
      <c r="AA24" s="12">
        <v>129</v>
      </c>
      <c r="AB24" s="11">
        <v>3</v>
      </c>
      <c r="AC24" s="40">
        <v>42</v>
      </c>
      <c r="AD24" s="12">
        <v>3</v>
      </c>
      <c r="AE24" s="11">
        <v>5.4</v>
      </c>
      <c r="AF24" s="38">
        <v>10.27</v>
      </c>
    </row>
    <row r="25" spans="1:32" s="19" customFormat="1" ht="12.75">
      <c r="A25" s="26">
        <v>17</v>
      </c>
      <c r="B25" s="28" t="s">
        <v>94</v>
      </c>
      <c r="C25" s="11">
        <v>7</v>
      </c>
      <c r="D25" s="11" t="s">
        <v>78</v>
      </c>
      <c r="E25" s="11" t="s">
        <v>68</v>
      </c>
      <c r="F25" s="6">
        <v>35153</v>
      </c>
      <c r="G25" s="11">
        <v>12</v>
      </c>
      <c r="H25" s="11">
        <v>163</v>
      </c>
      <c r="I25" s="11">
        <v>41</v>
      </c>
      <c r="J25" s="11">
        <v>70</v>
      </c>
      <c r="K25" s="11">
        <v>65</v>
      </c>
      <c r="L25" s="11">
        <v>63</v>
      </c>
      <c r="M25" s="11"/>
      <c r="N25" s="11"/>
      <c r="O25" s="11"/>
      <c r="P25" s="28" t="s">
        <v>94</v>
      </c>
      <c r="Q25" s="11">
        <v>115</v>
      </c>
      <c r="R25" s="11">
        <v>70</v>
      </c>
      <c r="S25" s="11">
        <v>37</v>
      </c>
      <c r="T25" s="11">
        <v>40</v>
      </c>
      <c r="U25" s="11">
        <v>76</v>
      </c>
      <c r="V25" s="11">
        <v>100</v>
      </c>
      <c r="W25" s="11">
        <v>100</v>
      </c>
      <c r="X25" s="11">
        <v>68</v>
      </c>
      <c r="Y25" s="15">
        <v>13</v>
      </c>
      <c r="Z25" s="11">
        <v>178</v>
      </c>
      <c r="AA25" s="15">
        <v>115</v>
      </c>
      <c r="AB25" s="11">
        <v>3</v>
      </c>
      <c r="AC25" s="41">
        <v>31</v>
      </c>
      <c r="AD25" s="15">
        <v>5</v>
      </c>
      <c r="AE25" s="11">
        <v>4.7</v>
      </c>
      <c r="AF25" s="38">
        <v>10.46</v>
      </c>
    </row>
    <row r="26" spans="1:32" s="19" customFormat="1" ht="12.75">
      <c r="A26" s="26">
        <v>18</v>
      </c>
      <c r="B26" s="11" t="s">
        <v>95</v>
      </c>
      <c r="C26" s="11">
        <v>7</v>
      </c>
      <c r="D26" s="11" t="s">
        <v>78</v>
      </c>
      <c r="E26" s="11" t="s">
        <v>68</v>
      </c>
      <c r="F26" s="6">
        <v>35271</v>
      </c>
      <c r="G26" s="11">
        <v>12</v>
      </c>
      <c r="H26" s="11">
        <v>157</v>
      </c>
      <c r="I26" s="11">
        <v>50</v>
      </c>
      <c r="J26" s="11">
        <v>73</v>
      </c>
      <c r="K26" s="11">
        <v>71</v>
      </c>
      <c r="L26" s="11">
        <v>70</v>
      </c>
      <c r="M26" s="11"/>
      <c r="N26" s="11"/>
      <c r="O26" s="11"/>
      <c r="P26" s="11" t="s">
        <v>95</v>
      </c>
      <c r="Q26" s="11">
        <v>108</v>
      </c>
      <c r="R26" s="11">
        <v>72</v>
      </c>
      <c r="S26" s="11">
        <v>51</v>
      </c>
      <c r="T26" s="11">
        <v>35</v>
      </c>
      <c r="U26" s="11">
        <v>72</v>
      </c>
      <c r="V26" s="11">
        <v>116</v>
      </c>
      <c r="W26" s="11">
        <v>156</v>
      </c>
      <c r="X26" s="11">
        <v>64</v>
      </c>
      <c r="Y26" s="11">
        <v>11</v>
      </c>
      <c r="Z26" s="11">
        <v>120</v>
      </c>
      <c r="AA26" s="11">
        <v>115</v>
      </c>
      <c r="AB26" s="11">
        <v>2</v>
      </c>
      <c r="AC26" s="38">
        <v>30</v>
      </c>
      <c r="AD26" s="11">
        <v>2</v>
      </c>
      <c r="AE26" s="11">
        <v>5</v>
      </c>
      <c r="AF26" s="38">
        <v>11.45</v>
      </c>
    </row>
    <row r="27" spans="1:32" s="19" customFormat="1" ht="12.75">
      <c r="A27" s="26">
        <v>19</v>
      </c>
      <c r="B27" s="29" t="s">
        <v>96</v>
      </c>
      <c r="C27" s="11">
        <v>7</v>
      </c>
      <c r="D27" s="11" t="s">
        <v>78</v>
      </c>
      <c r="E27" s="11" t="s">
        <v>68</v>
      </c>
      <c r="F27" s="7">
        <v>35139</v>
      </c>
      <c r="G27" s="11">
        <v>12</v>
      </c>
      <c r="H27" s="11">
        <v>165</v>
      </c>
      <c r="I27" s="11">
        <v>66</v>
      </c>
      <c r="J27" s="11">
        <v>84</v>
      </c>
      <c r="K27" s="11">
        <v>81</v>
      </c>
      <c r="L27" s="11">
        <v>80</v>
      </c>
      <c r="M27" s="11"/>
      <c r="N27" s="11"/>
      <c r="O27" s="11"/>
      <c r="P27" s="29" t="s">
        <v>96</v>
      </c>
      <c r="Q27" s="11">
        <v>134</v>
      </c>
      <c r="R27" s="11">
        <v>72</v>
      </c>
      <c r="S27" s="11">
        <v>53</v>
      </c>
      <c r="T27" s="11">
        <v>50</v>
      </c>
      <c r="U27" s="11">
        <v>80</v>
      </c>
      <c r="V27" s="11">
        <v>100</v>
      </c>
      <c r="W27" s="11">
        <v>180</v>
      </c>
      <c r="X27" s="11">
        <v>104</v>
      </c>
      <c r="Y27" s="11">
        <v>12</v>
      </c>
      <c r="Z27" s="11">
        <v>144</v>
      </c>
      <c r="AA27" s="11">
        <v>100</v>
      </c>
      <c r="AB27" s="11">
        <v>8</v>
      </c>
      <c r="AC27" s="38">
        <v>30</v>
      </c>
      <c r="AD27" s="11">
        <v>2</v>
      </c>
      <c r="AE27" s="11">
        <v>5.1</v>
      </c>
      <c r="AF27" s="38">
        <v>9.2</v>
      </c>
    </row>
    <row r="28" spans="1:32" s="19" customFormat="1" ht="12.75">
      <c r="A28" s="26">
        <v>20</v>
      </c>
      <c r="B28" s="28" t="s">
        <v>97</v>
      </c>
      <c r="C28" s="11">
        <v>7</v>
      </c>
      <c r="D28" s="11" t="s">
        <v>78</v>
      </c>
      <c r="E28" s="11" t="s">
        <v>68</v>
      </c>
      <c r="F28" s="6">
        <v>34991</v>
      </c>
      <c r="G28" s="11">
        <v>13</v>
      </c>
      <c r="H28" s="11">
        <v>161</v>
      </c>
      <c r="I28" s="11">
        <v>60</v>
      </c>
      <c r="J28" s="11">
        <v>83</v>
      </c>
      <c r="K28" s="11">
        <v>80</v>
      </c>
      <c r="L28" s="11">
        <v>78</v>
      </c>
      <c r="M28" s="11"/>
      <c r="N28" s="11"/>
      <c r="O28" s="11"/>
      <c r="P28" s="28" t="s">
        <v>97</v>
      </c>
      <c r="Q28" s="11">
        <v>125</v>
      </c>
      <c r="R28" s="11">
        <v>75</v>
      </c>
      <c r="S28" s="11">
        <v>44</v>
      </c>
      <c r="T28" s="11">
        <v>35</v>
      </c>
      <c r="U28" s="11">
        <v>56</v>
      </c>
      <c r="V28" s="11">
        <v>92</v>
      </c>
      <c r="W28" s="11">
        <v>148</v>
      </c>
      <c r="X28" s="11">
        <v>72</v>
      </c>
      <c r="Y28" s="11">
        <v>19</v>
      </c>
      <c r="Z28" s="11">
        <v>122</v>
      </c>
      <c r="AA28" s="11">
        <v>115</v>
      </c>
      <c r="AB28" s="11">
        <v>1</v>
      </c>
      <c r="AC28" s="38">
        <v>28</v>
      </c>
      <c r="AD28" s="11">
        <v>3</v>
      </c>
      <c r="AE28" s="11">
        <v>6.7</v>
      </c>
      <c r="AF28" s="38">
        <v>11.05</v>
      </c>
    </row>
    <row r="29" spans="1:32" s="19" customFormat="1" ht="12.75">
      <c r="A29" s="26">
        <v>21</v>
      </c>
      <c r="B29" s="28" t="s">
        <v>98</v>
      </c>
      <c r="C29" s="11">
        <v>7</v>
      </c>
      <c r="D29" s="11" t="s">
        <v>78</v>
      </c>
      <c r="E29" s="11" t="s">
        <v>68</v>
      </c>
      <c r="F29" s="6">
        <v>35343</v>
      </c>
      <c r="G29" s="11">
        <v>12</v>
      </c>
      <c r="H29" s="11">
        <v>167</v>
      </c>
      <c r="I29" s="11">
        <v>61</v>
      </c>
      <c r="J29" s="11">
        <v>81</v>
      </c>
      <c r="K29" s="11">
        <v>75</v>
      </c>
      <c r="L29" s="11">
        <v>74</v>
      </c>
      <c r="M29" s="11"/>
      <c r="N29" s="11"/>
      <c r="O29" s="11"/>
      <c r="P29" s="28" t="s">
        <v>98</v>
      </c>
      <c r="Q29" s="11">
        <v>128</v>
      </c>
      <c r="R29" s="11">
        <v>74</v>
      </c>
      <c r="S29" s="11">
        <v>35</v>
      </c>
      <c r="T29" s="11">
        <v>50</v>
      </c>
      <c r="U29" s="11">
        <v>72</v>
      </c>
      <c r="V29" s="11">
        <v>98</v>
      </c>
      <c r="W29" s="11">
        <v>148</v>
      </c>
      <c r="X29" s="11">
        <v>130</v>
      </c>
      <c r="Y29" s="11">
        <v>4</v>
      </c>
      <c r="Z29" s="11">
        <v>131</v>
      </c>
      <c r="AA29" s="11">
        <v>90</v>
      </c>
      <c r="AB29" s="11">
        <v>1</v>
      </c>
      <c r="AC29" s="38">
        <v>29</v>
      </c>
      <c r="AD29" s="11">
        <v>1</v>
      </c>
      <c r="AE29" s="11">
        <v>5.1</v>
      </c>
      <c r="AF29" s="38">
        <v>10.54</v>
      </c>
    </row>
    <row r="30" s="2" customFormat="1" ht="14.25"/>
    <row r="31" spans="2:35" s="2" customFormat="1" ht="14.25">
      <c r="B31" s="114" t="s">
        <v>135</v>
      </c>
      <c r="C31" s="114"/>
      <c r="D31" s="114"/>
      <c r="P31" s="97"/>
      <c r="Q31" s="92" t="s">
        <v>170</v>
      </c>
      <c r="R31" s="92" t="s">
        <v>167</v>
      </c>
      <c r="S31" s="92" t="s">
        <v>168</v>
      </c>
      <c r="T31" s="92" t="s">
        <v>171</v>
      </c>
      <c r="V31" s="80"/>
      <c r="W31" s="80"/>
      <c r="X31" s="78"/>
      <c r="Y31" s="77">
        <f>COUNTIF(Y8:Y18,"&gt;=8")</f>
        <v>5</v>
      </c>
      <c r="Z31" s="4">
        <f>_xlfn.COUNTIFS(Z8:Z18,"&gt;=180")</f>
        <v>4</v>
      </c>
      <c r="AA31" s="4">
        <f>_xlfn.COUNTIFS(AA8:AA18,"&gt;=105")</f>
        <v>8</v>
      </c>
      <c r="AB31" s="4">
        <f>_xlfn.COUNTIFS(AB8:AB18,"&gt;=15")</f>
        <v>8</v>
      </c>
      <c r="AC31" s="4">
        <f>_xlfn.COUNTIFS(AC8:AC18,"&gt;=45")</f>
        <v>3</v>
      </c>
      <c r="AD31" s="4">
        <f>_xlfn.COUNTIFS(AD8:AD18,"&gt;=8")</f>
        <v>1</v>
      </c>
      <c r="AE31" s="4">
        <f>_xlfn.COUNTIFS(AE8:AE18,"&lt;=5,2")</f>
        <v>11</v>
      </c>
      <c r="AF31" s="4">
        <f>_xlfn.COUNTIFS(AF8:AF18,"&lt;=7")</f>
        <v>2</v>
      </c>
      <c r="AG31" s="66" t="s">
        <v>152</v>
      </c>
      <c r="AH31" s="142" t="s">
        <v>147</v>
      </c>
      <c r="AI31" s="143"/>
    </row>
    <row r="32" spans="2:35" s="2" customFormat="1" ht="14.25">
      <c r="B32" s="44"/>
      <c r="C32" s="44"/>
      <c r="D32" s="45"/>
      <c r="P32" s="98"/>
      <c r="Q32" s="99"/>
      <c r="R32" s="99"/>
      <c r="S32" s="99"/>
      <c r="T32" s="100"/>
      <c r="V32" s="80"/>
      <c r="W32" s="80"/>
      <c r="X32" s="78"/>
      <c r="Y32" s="77">
        <f>_xlfn.COUNTIFS(Y8:Y18,"&lt;8",Y8:Y18,"&gt;=6")</f>
        <v>4</v>
      </c>
      <c r="Z32" s="4">
        <f>_xlfn.COUNTIFS(Z8:Z18,"&lt;180",Z8:Z18,"&gt;174")</f>
        <v>3</v>
      </c>
      <c r="AA32" s="4">
        <f>_xlfn.COUNTIFS(AA8:AA18,"&lt;105",AA8:AA18,"&gt;94")</f>
        <v>2</v>
      </c>
      <c r="AB32" s="4">
        <f>_xlfn.COUNTIFS(AB8:AB18,"&lt;15",AB8:AB18,"&gt;=8")</f>
        <v>3</v>
      </c>
      <c r="AC32" s="4">
        <f>_xlfn.COUNTIFS(AC8:AC18,"&lt;45",AC8:AC18,"&gt;=40")</f>
        <v>5</v>
      </c>
      <c r="AD32" s="4">
        <f>_xlfn.COUNTIFS(AD8:AD18,"&lt;8",AD8:AD18,"&gt;=6")</f>
        <v>3</v>
      </c>
      <c r="AE32" s="4">
        <f>_xlfn.COUNTIFS(AE8:AE18,"&gt;5,2",AE8:AE18,"&lt;=5,5")</f>
        <v>0</v>
      </c>
      <c r="AF32" s="4">
        <f>_xlfn.COUNTIFS(AF8:AF18,"&gt;7",AF8:AF18,"&lt;=7,3")</f>
        <v>3</v>
      </c>
      <c r="AG32" s="66" t="s">
        <v>153</v>
      </c>
      <c r="AH32" s="144"/>
      <c r="AI32" s="145"/>
    </row>
    <row r="33" spans="2:35" s="2" customFormat="1" ht="14.25">
      <c r="B33" s="46" t="s">
        <v>136</v>
      </c>
      <c r="C33" s="47">
        <v>21</v>
      </c>
      <c r="D33" s="48" t="s">
        <v>137</v>
      </c>
      <c r="P33" s="12" t="s">
        <v>77</v>
      </c>
      <c r="Q33" s="93">
        <v>19.23</v>
      </c>
      <c r="R33" s="93">
        <f>(I8/H8)*(AC8/60)</f>
        <v>0.2177215189873418</v>
      </c>
      <c r="S33" s="93">
        <f>U8*Q8/100</f>
        <v>99.2</v>
      </c>
      <c r="T33" s="93">
        <v>196.8</v>
      </c>
      <c r="V33" s="80"/>
      <c r="W33" s="80"/>
      <c r="X33" s="78"/>
      <c r="Y33" s="77">
        <f>_xlfn.COUNTIFS(Y8:Y18,"&lt;6",Y8:Y18,"&gt;=5")</f>
        <v>0</v>
      </c>
      <c r="Z33" s="4">
        <f>_xlfn.COUNTIFS(Z8:Z18,"&lt;175",Z8:Z18,"&gt;169")</f>
        <v>0</v>
      </c>
      <c r="AA33" s="4">
        <f>_xlfn.COUNTIFS(AA8:AA18,"&lt;95",AA8:AA18,"&gt;84")</f>
        <v>0</v>
      </c>
      <c r="AB33" s="4">
        <f>_xlfn.COUNTIFS(AB8:AB18,"&lt;8",AB8:AB18,"&gt;=4")</f>
        <v>0</v>
      </c>
      <c r="AC33" s="4">
        <f>_xlfn.COUNTIFS(AC8:AC18,"&lt;40",AC8:AC18,"&gt;=35")</f>
        <v>2</v>
      </c>
      <c r="AD33" s="4">
        <f>_xlfn.COUNTIFS(AD8:AD18,"&lt;6",AD8:AD18,"&gt;=5")</f>
        <v>1</v>
      </c>
      <c r="AE33" s="4">
        <f>_xlfn.COUNTIFS(AE8:AE18,"&gt;5,8",AE8:AE18,"&lt;=6,1")</f>
        <v>0</v>
      </c>
      <c r="AF33" s="4">
        <f>_xlfn.COUNTIFS(AF8:AF18,"&gt;7,3",AF8:AF18,"&lt;=8")</f>
        <v>3</v>
      </c>
      <c r="AG33" s="66" t="s">
        <v>154</v>
      </c>
      <c r="AH33" s="144"/>
      <c r="AI33" s="145"/>
    </row>
    <row r="34" spans="2:35" s="2" customFormat="1" ht="14.25">
      <c r="B34" s="49" t="s">
        <v>138</v>
      </c>
      <c r="C34" s="50">
        <v>4</v>
      </c>
      <c r="D34" s="51">
        <f>C34*100/C33</f>
        <v>19.047619047619047</v>
      </c>
      <c r="P34" s="11" t="s">
        <v>79</v>
      </c>
      <c r="Q34" s="4">
        <v>16.33</v>
      </c>
      <c r="R34" s="4">
        <f aca="true" t="shared" si="0" ref="R34:R43">(I9/H9)*(AC9/60)</f>
        <v>0.19427710843373494</v>
      </c>
      <c r="S34" s="4">
        <f aca="true" t="shared" si="1" ref="S34:S43">U9*Q9/100</f>
        <v>91.2</v>
      </c>
      <c r="T34" s="4">
        <v>118.8</v>
      </c>
      <c r="V34" s="80"/>
      <c r="W34" s="80"/>
      <c r="X34" s="78"/>
      <c r="Y34" s="77">
        <f>_xlfn.COUNTIFS(Y8:Y18,"&lt;5")</f>
        <v>2</v>
      </c>
      <c r="Z34" s="4">
        <f>_xlfn.COUNTIFS(Z8:Z18,"&lt;170")</f>
        <v>4</v>
      </c>
      <c r="AA34" s="4">
        <f>_xlfn.COUNTIFS(AA8:AA18,"&lt;85")</f>
        <v>1</v>
      </c>
      <c r="AB34" s="4">
        <f>_xlfn.COUNTIFS(AB8:AB18,"&lt;4")</f>
        <v>0</v>
      </c>
      <c r="AC34" s="4">
        <f>_xlfn.COUNTIFS(AC8:AC18,"&lt;35")</f>
        <v>1</v>
      </c>
      <c r="AD34" s="4">
        <f>_xlfn.COUNTIFS(AD8:AD18,"&lt;5")</f>
        <v>6</v>
      </c>
      <c r="AE34" s="4">
        <f>_xlfn.COUNTIFS(AE8:AE18,"&gt;6,1")</f>
        <v>0</v>
      </c>
      <c r="AF34" s="4">
        <f>_xlfn.COUNTIFS(AF8:AF18,"&gt;8")</f>
        <v>3</v>
      </c>
      <c r="AG34" s="66" t="s">
        <v>155</v>
      </c>
      <c r="AH34" s="146"/>
      <c r="AI34" s="147"/>
    </row>
    <row r="35" spans="2:35" s="2" customFormat="1" ht="14.25">
      <c r="B35" s="52" t="s">
        <v>139</v>
      </c>
      <c r="C35" s="50">
        <v>5</v>
      </c>
      <c r="D35" s="115">
        <f>(C35+C36+C37)*100/C33</f>
        <v>61.904761904761905</v>
      </c>
      <c r="P35" s="11" t="s">
        <v>80</v>
      </c>
      <c r="Q35" s="4">
        <v>16.87</v>
      </c>
      <c r="R35" s="4">
        <f t="shared" si="0"/>
        <v>0.20044444444444445</v>
      </c>
      <c r="S35" s="4">
        <f t="shared" si="1"/>
        <v>95.76</v>
      </c>
      <c r="T35" s="4" t="s">
        <v>174</v>
      </c>
      <c r="V35" s="33"/>
      <c r="W35" s="33"/>
      <c r="X35" s="79"/>
      <c r="AH35" s="3"/>
      <c r="AI35" s="3"/>
    </row>
    <row r="36" spans="2:35" s="2" customFormat="1" ht="14.25">
      <c r="B36" s="53" t="s">
        <v>140</v>
      </c>
      <c r="C36" s="50">
        <v>7</v>
      </c>
      <c r="D36" s="116"/>
      <c r="P36" s="11" t="s">
        <v>81</v>
      </c>
      <c r="Q36" s="4">
        <v>20.27</v>
      </c>
      <c r="R36" s="4">
        <f t="shared" si="0"/>
        <v>0.19867549668874174</v>
      </c>
      <c r="S36" s="4">
        <f t="shared" si="1"/>
        <v>93.24</v>
      </c>
      <c r="T36" s="4">
        <v>95.9</v>
      </c>
      <c r="V36" s="80"/>
      <c r="W36" s="80"/>
      <c r="X36" s="78"/>
      <c r="Y36" s="77">
        <f>COUNTIF(Y20:Y29,"&gt;=13")</f>
        <v>4</v>
      </c>
      <c r="Z36" s="4">
        <f>_xlfn.COUNTIFS(Z20:Z29,"&gt;=165")</f>
        <v>1</v>
      </c>
      <c r="AA36" s="4">
        <f>_xlfn.COUNTIFS(AA20:AA29,"&gt;=110")</f>
        <v>8</v>
      </c>
      <c r="AB36" s="4">
        <f>_xlfn.COUNTIFS(AB20:AB29,"&gt;=7")</f>
        <v>4</v>
      </c>
      <c r="AC36" s="4">
        <f>_xlfn.COUNTIFS(AC20:AC29,"&gt;=35")</f>
        <v>3</v>
      </c>
      <c r="AD36" s="4">
        <f>_xlfn.COUNTIFS(AD20:AD29,"&gt;=13")</f>
        <v>0</v>
      </c>
      <c r="AE36" s="4">
        <f>_xlfn.COUNTIFS(AE20:AE29,"&lt;=5,5")</f>
        <v>9</v>
      </c>
      <c r="AF36" s="4">
        <f>_xlfn.COUNTIFS(AF20:AF29,"&lt;=7,3")</f>
        <v>0</v>
      </c>
      <c r="AG36" s="66" t="s">
        <v>152</v>
      </c>
      <c r="AH36" s="142" t="s">
        <v>148</v>
      </c>
      <c r="AI36" s="143"/>
    </row>
    <row r="37" spans="2:35" s="2" customFormat="1" ht="14.25">
      <c r="B37" s="54" t="s">
        <v>141</v>
      </c>
      <c r="C37" s="50">
        <v>1</v>
      </c>
      <c r="D37" s="117"/>
      <c r="P37" s="11" t="s">
        <v>82</v>
      </c>
      <c r="Q37" s="4" t="s">
        <v>173</v>
      </c>
      <c r="R37" s="4">
        <f t="shared" si="0"/>
        <v>0.2041125541125541</v>
      </c>
      <c r="S37" s="4">
        <f t="shared" si="1"/>
        <v>82.8</v>
      </c>
      <c r="T37" s="4">
        <v>103.5</v>
      </c>
      <c r="V37" s="80"/>
      <c r="W37" s="80"/>
      <c r="X37" s="78"/>
      <c r="Y37" s="77">
        <f>_xlfn.COUNTIFS(Y20:Y29,"&lt;13",Y20:Y29,"&gt;=10")</f>
        <v>3</v>
      </c>
      <c r="Z37" s="4">
        <f>_xlfn.COUNTIFS(Z20:Z29,"&lt;165",Z20:Z29,"&gt;157")</f>
        <v>0</v>
      </c>
      <c r="AA37" s="4">
        <f>_xlfn.COUNTIFS(AA20:AA29,"&lt;110",AA20:AA29,"&gt;=70")</f>
        <v>2</v>
      </c>
      <c r="AB37" s="4">
        <f>_xlfn.COUNTIFS(AB20:AB29,"&lt;7",AB20:AB29,"&gt;=4")</f>
        <v>1</v>
      </c>
      <c r="AC37" s="4">
        <f>_xlfn.COUNTIFS(AC20:AC29,"&lt;35",AC20:AC29,"&gt;=30")</f>
        <v>5</v>
      </c>
      <c r="AD37" s="4">
        <f>_xlfn.COUNTIFS(AD20:AD29,"&lt;13",AD20:AD29,"&gt;=10")</f>
        <v>0</v>
      </c>
      <c r="AE37" s="4">
        <f>_xlfn.COUNTIFS(AE20:AE29,"&gt;5,5",AE20:AE29,"&lt;=5,8")</f>
        <v>0</v>
      </c>
      <c r="AF37" s="4">
        <f>_xlfn.COUNTIFS(AF20:AF29,"&gt;7,3",AF20:AF29,"&lt;=8")</f>
        <v>2</v>
      </c>
      <c r="AG37" s="66" t="s">
        <v>153</v>
      </c>
      <c r="AH37" s="144"/>
      <c r="AI37" s="145"/>
    </row>
    <row r="38" spans="2:35" s="2" customFormat="1" ht="14.25">
      <c r="B38" s="55" t="s">
        <v>142</v>
      </c>
      <c r="C38" s="50">
        <v>4</v>
      </c>
      <c r="D38" s="50">
        <f>C38*100/C33</f>
        <v>19.047619047619047</v>
      </c>
      <c r="P38" s="11" t="s">
        <v>83</v>
      </c>
      <c r="Q38" s="4">
        <v>18.97</v>
      </c>
      <c r="R38" s="4">
        <f t="shared" si="0"/>
        <v>0.23154362416107385</v>
      </c>
      <c r="S38" s="4">
        <f t="shared" si="1"/>
        <v>60</v>
      </c>
      <c r="T38" s="4">
        <v>100.3</v>
      </c>
      <c r="V38" s="80"/>
      <c r="W38" s="80"/>
      <c r="X38" s="78"/>
      <c r="Y38" s="77">
        <f>_xlfn.COUNTIFS(Y20:Y29,"&lt;10",Y20:Y29,"&gt;=9")</f>
        <v>1</v>
      </c>
      <c r="Z38" s="4">
        <f>_xlfn.COUNTIFS(Z20:Z29,"&lt;158",Z20:Z29,"&gt;149")</f>
        <v>4</v>
      </c>
      <c r="AA38" s="4">
        <f>_xlfn.COUNTIFS(AA20:AA29,"&lt;70",AA20:AA29,"&gt;=45")</f>
        <v>0</v>
      </c>
      <c r="AB38" s="4">
        <f>_xlfn.COUNTIFS(AB20:AB29,"&lt;4",AB20:AB29,"&gt;=2")</f>
        <v>3</v>
      </c>
      <c r="AC38" s="4">
        <f>_xlfn.COUNTIFS(AC20:AC29,"&lt;30",AC20:AC29,"&gt;=25")</f>
        <v>2</v>
      </c>
      <c r="AD38" s="4">
        <f>_xlfn.COUNTIFS(AD20:AD29,"&lt;10",AD20:AD29,"&gt;=9")</f>
        <v>0</v>
      </c>
      <c r="AE38" s="4">
        <f>_xlfn.COUNTIFS(AE20:AE29,"&gt;5,8",AE20:AE29,"&lt;=6,1")</f>
        <v>0</v>
      </c>
      <c r="AF38" s="4">
        <f>_xlfn.COUNTIFS(AF20:AF29,"&gt;8",AF20:AF29,"&lt;=8,3")</f>
        <v>0</v>
      </c>
      <c r="AG38" s="66" t="s">
        <v>154</v>
      </c>
      <c r="AH38" s="144"/>
      <c r="AI38" s="145"/>
    </row>
    <row r="39" spans="16:35" s="2" customFormat="1" ht="14.25">
      <c r="P39" s="11" t="s">
        <v>84</v>
      </c>
      <c r="Q39" s="4">
        <v>17.29</v>
      </c>
      <c r="R39" s="4">
        <f t="shared" si="0"/>
        <v>0.17897091722595077</v>
      </c>
      <c r="S39" s="4">
        <f t="shared" si="1"/>
        <v>109.2</v>
      </c>
      <c r="T39" s="4">
        <v>110.04</v>
      </c>
      <c r="V39" s="80"/>
      <c r="W39" s="80"/>
      <c r="X39" s="78"/>
      <c r="Y39" s="77">
        <f>_xlfn.COUNTIFS(Y20:Y29,"&lt;9")</f>
        <v>2</v>
      </c>
      <c r="Z39" s="4">
        <f>_xlfn.COUNTIFS(Z20:Z29,"&lt;150")</f>
        <v>5</v>
      </c>
      <c r="AA39" s="4">
        <f>_xlfn.COUNTIFS(AA20:AA29,"&lt;45")</f>
        <v>0</v>
      </c>
      <c r="AB39" s="4">
        <f>_xlfn.COUNTIFS(AB20:AB29,"&lt;2")</f>
        <v>2</v>
      </c>
      <c r="AC39" s="4">
        <f>_xlfn.COUNTIFS(AC20:AC29,"&lt;25")</f>
        <v>0</v>
      </c>
      <c r="AD39" s="4">
        <f>_xlfn.COUNTIFS(AD20:AD29,"&lt;9")</f>
        <v>10</v>
      </c>
      <c r="AE39" s="4">
        <f>_xlfn.COUNTIFS(AE20:AE29,"&gt;6,1")</f>
        <v>1</v>
      </c>
      <c r="AF39" s="4">
        <f>_xlfn.COUNTIFS(AF20:AF29,"&gt;8,3")</f>
        <v>8</v>
      </c>
      <c r="AG39" s="66" t="s">
        <v>155</v>
      </c>
      <c r="AH39" s="146"/>
      <c r="AI39" s="147"/>
    </row>
    <row r="40" spans="16:20" s="2" customFormat="1" ht="14.25">
      <c r="P40" s="11" t="s">
        <v>85</v>
      </c>
      <c r="Q40" s="4">
        <v>18.02</v>
      </c>
      <c r="R40" s="4">
        <f t="shared" si="0"/>
        <v>0.17316017316017313</v>
      </c>
      <c r="S40" s="4">
        <f t="shared" si="1"/>
        <v>120</v>
      </c>
      <c r="T40" s="4">
        <v>107.36</v>
      </c>
    </row>
    <row r="41" spans="16:35" s="2" customFormat="1" ht="14.25">
      <c r="P41" s="11" t="s">
        <v>86</v>
      </c>
      <c r="Q41" s="4">
        <v>17.54</v>
      </c>
      <c r="R41" s="4">
        <f t="shared" si="0"/>
        <v>0.19145569620253167</v>
      </c>
      <c r="S41" s="4">
        <f t="shared" si="1"/>
        <v>95</v>
      </c>
      <c r="T41" s="4">
        <v>107.54</v>
      </c>
      <c r="Y41" s="85">
        <f>SUM(Y31,Y36)</f>
        <v>9</v>
      </c>
      <c r="Z41" s="85">
        <f>SUM(Z31,Z36)</f>
        <v>5</v>
      </c>
      <c r="AA41" s="85">
        <f aca="true" t="shared" si="2" ref="AA41:AF41">SUM(AA31,AA36)</f>
        <v>16</v>
      </c>
      <c r="AB41" s="85">
        <f t="shared" si="2"/>
        <v>12</v>
      </c>
      <c r="AC41" s="85">
        <f t="shared" si="2"/>
        <v>6</v>
      </c>
      <c r="AD41" s="85">
        <f t="shared" si="2"/>
        <v>1</v>
      </c>
      <c r="AE41" s="85">
        <f t="shared" si="2"/>
        <v>20</v>
      </c>
      <c r="AF41" s="85">
        <f t="shared" si="2"/>
        <v>2</v>
      </c>
      <c r="AG41" s="66" t="s">
        <v>152</v>
      </c>
      <c r="AH41" s="130" t="s">
        <v>160</v>
      </c>
      <c r="AI41" s="131"/>
    </row>
    <row r="42" spans="16:35" s="2" customFormat="1" ht="14.25">
      <c r="P42" s="11" t="s">
        <v>87</v>
      </c>
      <c r="Q42" s="4">
        <v>22.03</v>
      </c>
      <c r="R42" s="4">
        <f t="shared" si="0"/>
        <v>0.18019480519480519</v>
      </c>
      <c r="S42" s="4">
        <f t="shared" si="1"/>
        <v>124</v>
      </c>
      <c r="T42" s="4">
        <v>87.2</v>
      </c>
      <c r="Y42" s="84">
        <f>SUM(Y32,Y37)</f>
        <v>7</v>
      </c>
      <c r="Z42" s="84">
        <f aca="true" t="shared" si="3" ref="Z42:AF42">SUM(Z32,Z37)</f>
        <v>3</v>
      </c>
      <c r="AA42" s="84">
        <f t="shared" si="3"/>
        <v>4</v>
      </c>
      <c r="AB42" s="84">
        <f t="shared" si="3"/>
        <v>4</v>
      </c>
      <c r="AC42" s="84">
        <f t="shared" si="3"/>
        <v>10</v>
      </c>
      <c r="AD42" s="84">
        <f t="shared" si="3"/>
        <v>3</v>
      </c>
      <c r="AE42" s="84">
        <f t="shared" si="3"/>
        <v>0</v>
      </c>
      <c r="AF42" s="84">
        <f t="shared" si="3"/>
        <v>5</v>
      </c>
      <c r="AG42" s="66" t="s">
        <v>153</v>
      </c>
      <c r="AH42" s="132"/>
      <c r="AI42" s="133"/>
    </row>
    <row r="43" spans="16:35" s="2" customFormat="1" ht="14.25">
      <c r="P43" s="11" t="s">
        <v>88</v>
      </c>
      <c r="Q43" s="4">
        <v>18.93</v>
      </c>
      <c r="R43" s="4">
        <f t="shared" si="0"/>
        <v>0.20077519379844963</v>
      </c>
      <c r="S43" s="4">
        <f t="shared" si="1"/>
        <v>100.8</v>
      </c>
      <c r="T43" s="4">
        <v>116.4</v>
      </c>
      <c r="Y43" s="86">
        <f aca="true" t="shared" si="4" ref="Y43:AF44">SUM(Y33,Y38)</f>
        <v>1</v>
      </c>
      <c r="Z43" s="86">
        <f t="shared" si="4"/>
        <v>4</v>
      </c>
      <c r="AA43" s="86">
        <f t="shared" si="4"/>
        <v>0</v>
      </c>
      <c r="AB43" s="86">
        <f t="shared" si="4"/>
        <v>3</v>
      </c>
      <c r="AC43" s="86">
        <f t="shared" si="4"/>
        <v>4</v>
      </c>
      <c r="AD43" s="86">
        <f t="shared" si="4"/>
        <v>1</v>
      </c>
      <c r="AE43" s="86">
        <f t="shared" si="4"/>
        <v>0</v>
      </c>
      <c r="AF43" s="86">
        <f t="shared" si="4"/>
        <v>3</v>
      </c>
      <c r="AG43" s="66" t="s">
        <v>154</v>
      </c>
      <c r="AH43" s="132"/>
      <c r="AI43" s="133"/>
    </row>
    <row r="44" spans="16:35" s="2" customFormat="1" ht="14.25">
      <c r="P44" s="89"/>
      <c r="Q44" s="4"/>
      <c r="R44" s="4"/>
      <c r="S44" s="4"/>
      <c r="T44" s="4"/>
      <c r="Y44" s="83">
        <f t="shared" si="4"/>
        <v>4</v>
      </c>
      <c r="Z44" s="83">
        <f t="shared" si="4"/>
        <v>9</v>
      </c>
      <c r="AA44" s="83">
        <f t="shared" si="4"/>
        <v>1</v>
      </c>
      <c r="AB44" s="83">
        <f t="shared" si="4"/>
        <v>2</v>
      </c>
      <c r="AC44" s="83">
        <f t="shared" si="4"/>
        <v>1</v>
      </c>
      <c r="AD44" s="83">
        <f t="shared" si="4"/>
        <v>16</v>
      </c>
      <c r="AE44" s="83">
        <f t="shared" si="4"/>
        <v>1</v>
      </c>
      <c r="AF44" s="83">
        <f t="shared" si="4"/>
        <v>11</v>
      </c>
      <c r="AG44" s="66" t="s">
        <v>155</v>
      </c>
      <c r="AH44" s="134"/>
      <c r="AI44" s="135"/>
    </row>
    <row r="45" spans="16:20" s="2" customFormat="1" ht="14.25">
      <c r="P45" s="11" t="s">
        <v>89</v>
      </c>
      <c r="Q45" s="4">
        <v>15.43</v>
      </c>
      <c r="R45" s="4">
        <f aca="true" t="shared" si="5" ref="R45:R54">(I20/H20)*(AC20/60)</f>
        <v>0.21565656565656566</v>
      </c>
      <c r="S45" s="4">
        <f aca="true" t="shared" si="6" ref="S45:S54">U20*Q20/100</f>
        <v>66.04</v>
      </c>
      <c r="T45" s="4">
        <v>133.6</v>
      </c>
    </row>
    <row r="46" spans="16:35" ht="14.25">
      <c r="P46" s="11" t="s">
        <v>90</v>
      </c>
      <c r="Q46" s="87">
        <v>17.74</v>
      </c>
      <c r="R46" s="4">
        <f t="shared" si="5"/>
        <v>0.12275449101796407</v>
      </c>
      <c r="S46" s="4">
        <f t="shared" si="6"/>
        <v>77.28</v>
      </c>
      <c r="T46" s="87">
        <v>111.63</v>
      </c>
      <c r="Y46" s="82">
        <f>Y41*100/21</f>
        <v>42.857142857142854</v>
      </c>
      <c r="Z46" s="82">
        <f aca="true" t="shared" si="7" ref="Z46:AF46">Z41*100/21</f>
        <v>23.80952380952381</v>
      </c>
      <c r="AA46" s="82">
        <f t="shared" si="7"/>
        <v>76.19047619047619</v>
      </c>
      <c r="AB46" s="82">
        <f t="shared" si="7"/>
        <v>57.142857142857146</v>
      </c>
      <c r="AC46" s="82">
        <f t="shared" si="7"/>
        <v>28.571428571428573</v>
      </c>
      <c r="AD46" s="82">
        <f t="shared" si="7"/>
        <v>4.761904761904762</v>
      </c>
      <c r="AE46" s="82">
        <f t="shared" si="7"/>
        <v>95.23809523809524</v>
      </c>
      <c r="AF46" s="82">
        <f t="shared" si="7"/>
        <v>9.523809523809524</v>
      </c>
      <c r="AG46" s="66" t="s">
        <v>152</v>
      </c>
      <c r="AH46" s="136" t="s">
        <v>161</v>
      </c>
      <c r="AI46" s="137"/>
    </row>
    <row r="47" spans="16:35" ht="14.25">
      <c r="P47" s="11" t="s">
        <v>91</v>
      </c>
      <c r="Q47" s="87">
        <v>14.7</v>
      </c>
      <c r="R47" s="4">
        <f t="shared" si="5"/>
        <v>0.13486842105263158</v>
      </c>
      <c r="S47" s="4">
        <f t="shared" si="6"/>
        <v>76</v>
      </c>
      <c r="T47" s="87">
        <v>140</v>
      </c>
      <c r="Y47" s="82">
        <f>Y42*100/21</f>
        <v>33.333333333333336</v>
      </c>
      <c r="Z47" s="82">
        <f aca="true" t="shared" si="8" ref="Z47:AF47">Z42*100/21</f>
        <v>14.285714285714286</v>
      </c>
      <c r="AA47" s="82">
        <f t="shared" si="8"/>
        <v>19.047619047619047</v>
      </c>
      <c r="AB47" s="82">
        <f t="shared" si="8"/>
        <v>19.047619047619047</v>
      </c>
      <c r="AC47" s="82">
        <f t="shared" si="8"/>
        <v>47.61904761904762</v>
      </c>
      <c r="AD47" s="82">
        <f t="shared" si="8"/>
        <v>14.285714285714286</v>
      </c>
      <c r="AE47" s="82">
        <f t="shared" si="8"/>
        <v>0</v>
      </c>
      <c r="AF47" s="82">
        <f t="shared" si="8"/>
        <v>23.80952380952381</v>
      </c>
      <c r="AG47" s="66" t="s">
        <v>153</v>
      </c>
      <c r="AH47" s="138"/>
      <c r="AI47" s="139"/>
    </row>
    <row r="48" spans="16:35" ht="14.25">
      <c r="P48" s="11" t="s">
        <v>92</v>
      </c>
      <c r="Q48" s="87">
        <v>20.8</v>
      </c>
      <c r="R48" s="4">
        <f t="shared" si="5"/>
        <v>0.20838323353293414</v>
      </c>
      <c r="S48" s="4">
        <f t="shared" si="6"/>
        <v>84</v>
      </c>
      <c r="T48" s="87">
        <v>111.96</v>
      </c>
      <c r="Y48" s="82">
        <f>Y43*100/21</f>
        <v>4.761904761904762</v>
      </c>
      <c r="Z48" s="82">
        <f aca="true" t="shared" si="9" ref="Z48:AF48">Z43*100/21</f>
        <v>19.047619047619047</v>
      </c>
      <c r="AA48" s="82">
        <f t="shared" si="9"/>
        <v>0</v>
      </c>
      <c r="AB48" s="82">
        <f t="shared" si="9"/>
        <v>14.285714285714286</v>
      </c>
      <c r="AC48" s="82">
        <f t="shared" si="9"/>
        <v>19.047619047619047</v>
      </c>
      <c r="AD48" s="82">
        <f t="shared" si="9"/>
        <v>4.761904761904762</v>
      </c>
      <c r="AE48" s="82">
        <f t="shared" si="9"/>
        <v>0</v>
      </c>
      <c r="AF48" s="82">
        <f t="shared" si="9"/>
        <v>14.285714285714286</v>
      </c>
      <c r="AG48" s="66" t="s">
        <v>154</v>
      </c>
      <c r="AH48" s="138"/>
      <c r="AI48" s="139"/>
    </row>
    <row r="49" spans="16:35" ht="14.25">
      <c r="P49" s="11" t="s">
        <v>93</v>
      </c>
      <c r="Q49" s="87">
        <v>22.41</v>
      </c>
      <c r="R49" s="4">
        <f t="shared" si="5"/>
        <v>0.18967741935483873</v>
      </c>
      <c r="S49" s="4">
        <f t="shared" si="6"/>
        <v>99.84</v>
      </c>
      <c r="T49" s="87">
        <v>97.32</v>
      </c>
      <c r="Y49" s="82">
        <f>Y44*100/21</f>
        <v>19.047619047619047</v>
      </c>
      <c r="Z49" s="82">
        <f aca="true" t="shared" si="10" ref="Z49:AF49">Z44*100/21</f>
        <v>42.857142857142854</v>
      </c>
      <c r="AA49" s="82">
        <f t="shared" si="10"/>
        <v>4.761904761904762</v>
      </c>
      <c r="AB49" s="82">
        <f t="shared" si="10"/>
        <v>9.523809523809524</v>
      </c>
      <c r="AC49" s="82">
        <f t="shared" si="10"/>
        <v>4.761904761904762</v>
      </c>
      <c r="AD49" s="82">
        <f t="shared" si="10"/>
        <v>76.19047619047619</v>
      </c>
      <c r="AE49" s="82">
        <f t="shared" si="10"/>
        <v>4.761904761904762</v>
      </c>
      <c r="AF49" s="82">
        <f t="shared" si="10"/>
        <v>52.38095238095238</v>
      </c>
      <c r="AG49" s="66" t="s">
        <v>155</v>
      </c>
      <c r="AH49" s="140"/>
      <c r="AI49" s="141"/>
    </row>
    <row r="50" spans="16:20" ht="14.25">
      <c r="P50" s="11" t="s">
        <v>94</v>
      </c>
      <c r="Q50" s="87">
        <v>24.24</v>
      </c>
      <c r="R50" s="4">
        <f t="shared" si="5"/>
        <v>0.129959100204499</v>
      </c>
      <c r="S50" s="4">
        <f t="shared" si="6"/>
        <v>87.4</v>
      </c>
      <c r="T50" s="87">
        <v>83.92</v>
      </c>
    </row>
    <row r="51" spans="16:35" ht="14.25">
      <c r="P51" s="11" t="s">
        <v>95</v>
      </c>
      <c r="Q51" s="87">
        <v>17.48</v>
      </c>
      <c r="R51" s="4">
        <f t="shared" si="5"/>
        <v>0.1592356687898089</v>
      </c>
      <c r="S51" s="4">
        <f t="shared" si="6"/>
        <v>77.76</v>
      </c>
      <c r="T51" s="87">
        <v>114.16</v>
      </c>
      <c r="Y51" s="82">
        <f>SUM(Y46:AF46)</f>
        <v>338.0952380952381</v>
      </c>
      <c r="Z51" s="2"/>
      <c r="AA51" s="129" t="s">
        <v>137</v>
      </c>
      <c r="AB51" s="129"/>
      <c r="AC51" s="129"/>
      <c r="AD51" s="129"/>
      <c r="AE51" s="2"/>
      <c r="AF51" s="82">
        <f>Y51*100/800</f>
        <v>42.26190476190476</v>
      </c>
      <c r="AG51" s="66" t="s">
        <v>152</v>
      </c>
      <c r="AH51" s="148" t="s">
        <v>165</v>
      </c>
      <c r="AI51" s="148"/>
    </row>
    <row r="52" spans="16:35" ht="14.25">
      <c r="P52" s="11" t="s">
        <v>96</v>
      </c>
      <c r="Q52" s="87">
        <v>20.28</v>
      </c>
      <c r="R52" s="4">
        <f t="shared" si="5"/>
        <v>0.2</v>
      </c>
      <c r="S52" s="4">
        <f t="shared" si="6"/>
        <v>107.2</v>
      </c>
      <c r="T52" s="87">
        <v>103.3</v>
      </c>
      <c r="Y52" s="82">
        <f>SUM(Y47:AF47)</f>
        <v>171.42857142857144</v>
      </c>
      <c r="Z52" s="2"/>
      <c r="AA52" s="129"/>
      <c r="AB52" s="129"/>
      <c r="AC52" s="129"/>
      <c r="AD52" s="129"/>
      <c r="AE52" s="2"/>
      <c r="AF52" s="82">
        <f>Y52*100/800</f>
        <v>21.42857142857143</v>
      </c>
      <c r="AG52" s="66" t="s">
        <v>153</v>
      </c>
      <c r="AH52" s="148"/>
      <c r="AI52" s="148"/>
    </row>
    <row r="53" spans="16:35" ht="14.25">
      <c r="P53" s="11" t="s">
        <v>97</v>
      </c>
      <c r="Q53" s="87">
        <v>21.87</v>
      </c>
      <c r="R53" s="4">
        <f t="shared" si="5"/>
        <v>0.17391304347826086</v>
      </c>
      <c r="S53" s="4">
        <f t="shared" si="6"/>
        <v>70</v>
      </c>
      <c r="T53" s="87">
        <v>101.71</v>
      </c>
      <c r="Y53" s="82">
        <f>SUM(Y48:AF48)</f>
        <v>76.19047619047619</v>
      </c>
      <c r="Z53" s="2"/>
      <c r="AA53" s="129"/>
      <c r="AB53" s="129"/>
      <c r="AC53" s="129"/>
      <c r="AD53" s="129"/>
      <c r="AE53" s="2"/>
      <c r="AF53" s="82">
        <f>Y53*100/800</f>
        <v>9.523809523809524</v>
      </c>
      <c r="AG53" s="66" t="s">
        <v>154</v>
      </c>
      <c r="AH53" s="148"/>
      <c r="AI53" s="148"/>
    </row>
    <row r="54" spans="16:35" ht="14.25">
      <c r="P54" s="11" t="s">
        <v>98</v>
      </c>
      <c r="Q54" s="87">
        <v>23.15</v>
      </c>
      <c r="R54" s="4">
        <f t="shared" si="5"/>
        <v>0.17654690618762475</v>
      </c>
      <c r="S54" s="4">
        <f t="shared" si="6"/>
        <v>92.16</v>
      </c>
      <c r="T54" s="87">
        <v>91.8</v>
      </c>
      <c r="Y54" s="82">
        <f>SUM(Y49:AF49)</f>
        <v>214.28571428571425</v>
      </c>
      <c r="Z54" s="2"/>
      <c r="AA54" s="129"/>
      <c r="AB54" s="129"/>
      <c r="AC54" s="129"/>
      <c r="AD54" s="129"/>
      <c r="AE54" s="2"/>
      <c r="AF54" s="82">
        <f>Y54*100/800</f>
        <v>26.78571428571428</v>
      </c>
      <c r="AG54" s="66" t="s">
        <v>155</v>
      </c>
      <c r="AH54" s="148"/>
      <c r="AI54" s="148"/>
    </row>
    <row r="55" spans="25:35" ht="14.25"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</sheetData>
  <sheetProtection/>
  <mergeCells count="35">
    <mergeCell ref="AH36:AI39"/>
    <mergeCell ref="AH6:AQ6"/>
    <mergeCell ref="AH8:AH10"/>
    <mergeCell ref="AH12:AH14"/>
    <mergeCell ref="AH46:AI49"/>
    <mergeCell ref="AH51:AI54"/>
    <mergeCell ref="AA51:AD54"/>
    <mergeCell ref="F6:F7"/>
    <mergeCell ref="U6:X6"/>
    <mergeCell ref="AH41:AI44"/>
    <mergeCell ref="Y5:AF5"/>
    <mergeCell ref="Z6:AA6"/>
    <mergeCell ref="Y6:Y7"/>
    <mergeCell ref="AB6:AD6"/>
    <mergeCell ref="AE6:AF6"/>
    <mergeCell ref="AH31:AI34"/>
    <mergeCell ref="B31:D31"/>
    <mergeCell ref="D35:D37"/>
    <mergeCell ref="G5:G7"/>
    <mergeCell ref="H5:O5"/>
    <mergeCell ref="H6:H7"/>
    <mergeCell ref="I6:I7"/>
    <mergeCell ref="J6:L6"/>
    <mergeCell ref="M6:N6"/>
    <mergeCell ref="O6:O7"/>
    <mergeCell ref="B6:B7"/>
    <mergeCell ref="P5:P7"/>
    <mergeCell ref="Q5:X5"/>
    <mergeCell ref="Q6:R6"/>
    <mergeCell ref="S6:T6"/>
    <mergeCell ref="A5:F5"/>
    <mergeCell ref="A6:A7"/>
    <mergeCell ref="C6:C7"/>
    <mergeCell ref="D6:D7"/>
    <mergeCell ref="E6:E7"/>
  </mergeCells>
  <printOptions gridLines="1"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6"/>
  <sheetViews>
    <sheetView zoomScale="80" zoomScaleNormal="80" zoomScalePageLayoutView="0" workbookViewId="0" topLeftCell="B11">
      <selection activeCell="V39" sqref="V39"/>
    </sheetView>
  </sheetViews>
  <sheetFormatPr defaultColWidth="8.421875" defaultRowHeight="12.75"/>
  <cols>
    <col min="1" max="1" width="6.57421875" style="0" customWidth="1"/>
    <col min="2" max="2" width="27.140625" style="0" customWidth="1"/>
    <col min="3" max="5" width="8.421875" style="0" bestFit="1" customWidth="1"/>
    <col min="6" max="6" width="12.57421875" style="0" customWidth="1"/>
    <col min="7" max="11" width="8.421875" style="0" bestFit="1" customWidth="1"/>
    <col min="12" max="12" width="10.8515625" style="0" customWidth="1"/>
    <col min="13" max="15" width="8.421875" style="0" bestFit="1" customWidth="1"/>
    <col min="16" max="16" width="26.7109375" style="0" customWidth="1"/>
    <col min="17" max="17" width="10.140625" style="0" customWidth="1"/>
    <col min="18" max="18" width="10.00390625" style="0" customWidth="1"/>
    <col min="19" max="27" width="8.421875" style="0" bestFit="1" customWidth="1"/>
    <col min="28" max="28" width="10.00390625" style="0" customWidth="1"/>
    <col min="29" max="29" width="8.421875" style="0" bestFit="1" customWidth="1"/>
    <col min="30" max="30" width="10.140625" style="0" customWidth="1"/>
    <col min="31" max="31" width="8.421875" style="0" bestFit="1" customWidth="1"/>
    <col min="32" max="32" width="11.57421875" style="0" customWidth="1"/>
    <col min="33" max="33" width="9.00390625" style="0" customWidth="1"/>
    <col min="34" max="34" width="9.57421875" style="0" customWidth="1"/>
    <col min="35" max="35" width="8.421875" style="0" customWidth="1"/>
    <col min="36" max="36" width="9.8515625" style="0" customWidth="1"/>
    <col min="37" max="37" width="8.421875" style="0" customWidth="1"/>
    <col min="38" max="38" width="9.57421875" style="0" customWidth="1"/>
    <col min="39" max="39" width="9.7109375" style="0" customWidth="1"/>
    <col min="40" max="40" width="10.57421875" style="0" customWidth="1"/>
    <col min="41" max="41" width="10.421875" style="0" customWidth="1"/>
    <col min="42" max="42" width="9.57421875" style="0" customWidth="1"/>
    <col min="43" max="43" width="11.57421875" style="0" customWidth="1"/>
  </cols>
  <sheetData>
    <row r="1" spans="1:16" s="2" customFormat="1" ht="14.2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</row>
    <row r="2" spans="1:16" s="2" customFormat="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</row>
    <row r="3" spans="1:16" s="2" customFormat="1" ht="14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</row>
    <row r="4" spans="1:9" s="2" customFormat="1" ht="14.25">
      <c r="A4" s="1"/>
      <c r="B4" s="1"/>
      <c r="C4" s="1"/>
      <c r="D4" s="1"/>
      <c r="E4" s="1"/>
      <c r="F4" s="1"/>
      <c r="G4" s="1"/>
      <c r="H4" s="1"/>
      <c r="I4" s="1"/>
    </row>
    <row r="5" spans="1:32" s="19" customFormat="1" ht="12.75">
      <c r="A5" s="118" t="s">
        <v>22</v>
      </c>
      <c r="B5" s="119"/>
      <c r="C5" s="119"/>
      <c r="D5" s="119"/>
      <c r="E5" s="119"/>
      <c r="F5" s="120"/>
      <c r="G5" s="121" t="s">
        <v>23</v>
      </c>
      <c r="H5" s="118" t="s">
        <v>24</v>
      </c>
      <c r="I5" s="119"/>
      <c r="J5" s="119"/>
      <c r="K5" s="119"/>
      <c r="L5" s="119"/>
      <c r="M5" s="119"/>
      <c r="N5" s="119"/>
      <c r="O5" s="120"/>
      <c r="P5" s="121" t="s">
        <v>25</v>
      </c>
      <c r="Q5" s="118" t="s">
        <v>26</v>
      </c>
      <c r="R5" s="119"/>
      <c r="S5" s="119"/>
      <c r="T5" s="119"/>
      <c r="U5" s="119"/>
      <c r="V5" s="119"/>
      <c r="W5" s="119"/>
      <c r="X5" s="120"/>
      <c r="Y5" s="118" t="s">
        <v>27</v>
      </c>
      <c r="Z5" s="119"/>
      <c r="AA5" s="119"/>
      <c r="AB5" s="119"/>
      <c r="AC5" s="119"/>
      <c r="AD5" s="119"/>
      <c r="AE5" s="119"/>
      <c r="AF5" s="120"/>
    </row>
    <row r="6" spans="1:43" s="19" customFormat="1" ht="44.25" customHeight="1">
      <c r="A6" s="121" t="s">
        <v>28</v>
      </c>
      <c r="B6" s="121" t="s">
        <v>25</v>
      </c>
      <c r="C6" s="121" t="s">
        <v>12</v>
      </c>
      <c r="D6" s="121" t="s">
        <v>29</v>
      </c>
      <c r="E6" s="121" t="s">
        <v>30</v>
      </c>
      <c r="F6" s="124" t="s">
        <v>31</v>
      </c>
      <c r="G6" s="123"/>
      <c r="H6" s="121" t="s">
        <v>32</v>
      </c>
      <c r="I6" s="124" t="s">
        <v>33</v>
      </c>
      <c r="J6" s="126" t="s">
        <v>34</v>
      </c>
      <c r="K6" s="127"/>
      <c r="L6" s="128"/>
      <c r="M6" s="118" t="s">
        <v>35</v>
      </c>
      <c r="N6" s="120"/>
      <c r="O6" s="11" t="s">
        <v>36</v>
      </c>
      <c r="P6" s="123"/>
      <c r="Q6" s="126" t="s">
        <v>37</v>
      </c>
      <c r="R6" s="128"/>
      <c r="S6" s="126" t="s">
        <v>38</v>
      </c>
      <c r="T6" s="128"/>
      <c r="U6" s="126" t="s">
        <v>39</v>
      </c>
      <c r="V6" s="127"/>
      <c r="W6" s="127"/>
      <c r="X6" s="128"/>
      <c r="Y6" s="124" t="s">
        <v>40</v>
      </c>
      <c r="Z6" s="126" t="s">
        <v>41</v>
      </c>
      <c r="AA6" s="128"/>
      <c r="AB6" s="126" t="s">
        <v>42</v>
      </c>
      <c r="AC6" s="127"/>
      <c r="AD6" s="128"/>
      <c r="AE6" s="126" t="s">
        <v>43</v>
      </c>
      <c r="AF6" s="128"/>
      <c r="AG6" s="24"/>
      <c r="AH6" s="126" t="s">
        <v>151</v>
      </c>
      <c r="AI6" s="127"/>
      <c r="AJ6" s="127"/>
      <c r="AK6" s="127"/>
      <c r="AL6" s="127"/>
      <c r="AM6" s="127"/>
      <c r="AN6" s="127"/>
      <c r="AO6" s="127"/>
      <c r="AP6" s="127"/>
      <c r="AQ6" s="128"/>
    </row>
    <row r="7" spans="1:43" s="19" customFormat="1" ht="74.25" customHeight="1">
      <c r="A7" s="122"/>
      <c r="B7" s="122"/>
      <c r="C7" s="122"/>
      <c r="D7" s="122"/>
      <c r="E7" s="122"/>
      <c r="F7" s="125"/>
      <c r="G7" s="122"/>
      <c r="H7" s="122"/>
      <c r="I7" s="125"/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/>
      <c r="P7" s="122"/>
      <c r="Q7" s="23" t="s">
        <v>49</v>
      </c>
      <c r="R7" s="23" t="s">
        <v>50</v>
      </c>
      <c r="S7" s="23" t="s">
        <v>44</v>
      </c>
      <c r="T7" s="23" t="s">
        <v>46</v>
      </c>
      <c r="U7" s="23" t="s">
        <v>51</v>
      </c>
      <c r="V7" s="23" t="s">
        <v>52</v>
      </c>
      <c r="W7" s="23" t="s">
        <v>53</v>
      </c>
      <c r="X7" s="23" t="s">
        <v>54</v>
      </c>
      <c r="Y7" s="125"/>
      <c r="Z7" s="23" t="s">
        <v>55</v>
      </c>
      <c r="AA7" s="23" t="s">
        <v>56</v>
      </c>
      <c r="AB7" s="23" t="s">
        <v>57</v>
      </c>
      <c r="AC7" s="23" t="s">
        <v>132</v>
      </c>
      <c r="AD7" s="23" t="s">
        <v>58</v>
      </c>
      <c r="AE7" s="23" t="s">
        <v>59</v>
      </c>
      <c r="AF7" s="23" t="s">
        <v>134</v>
      </c>
      <c r="AG7" s="24"/>
      <c r="AH7" s="23" t="s">
        <v>150</v>
      </c>
      <c r="AI7" s="23" t="s">
        <v>149</v>
      </c>
      <c r="AJ7" s="76" t="s">
        <v>40</v>
      </c>
      <c r="AK7" s="23" t="s">
        <v>55</v>
      </c>
      <c r="AL7" s="23" t="s">
        <v>56</v>
      </c>
      <c r="AM7" s="23" t="s">
        <v>57</v>
      </c>
      <c r="AN7" s="23" t="s">
        <v>132</v>
      </c>
      <c r="AO7" s="23" t="s">
        <v>58</v>
      </c>
      <c r="AP7" s="23" t="s">
        <v>59</v>
      </c>
      <c r="AQ7" s="23" t="s">
        <v>134</v>
      </c>
    </row>
    <row r="8" spans="1:43" s="19" customFormat="1" ht="12.75">
      <c r="A8" s="11">
        <v>1</v>
      </c>
      <c r="B8" s="11" t="s">
        <v>99</v>
      </c>
      <c r="C8" s="11">
        <v>9</v>
      </c>
      <c r="D8" s="11" t="s">
        <v>61</v>
      </c>
      <c r="E8" s="11" t="s">
        <v>62</v>
      </c>
      <c r="F8" s="13">
        <v>34065</v>
      </c>
      <c r="G8" s="11">
        <v>15</v>
      </c>
      <c r="H8" s="11">
        <v>174</v>
      </c>
      <c r="I8" s="11">
        <v>60</v>
      </c>
      <c r="J8" s="11">
        <v>79</v>
      </c>
      <c r="K8" s="11">
        <v>75</v>
      </c>
      <c r="L8" s="11">
        <v>71</v>
      </c>
      <c r="M8" s="11"/>
      <c r="N8" s="11"/>
      <c r="O8" s="11"/>
      <c r="P8" s="11" t="s">
        <v>99</v>
      </c>
      <c r="Q8" s="11">
        <v>120</v>
      </c>
      <c r="R8" s="11">
        <v>70</v>
      </c>
      <c r="S8" s="11">
        <v>66</v>
      </c>
      <c r="T8" s="11">
        <v>35</v>
      </c>
      <c r="U8" s="11">
        <v>88</v>
      </c>
      <c r="V8" s="11">
        <v>92</v>
      </c>
      <c r="W8" s="11">
        <v>120</v>
      </c>
      <c r="X8" s="11">
        <v>100</v>
      </c>
      <c r="Y8" s="11">
        <v>15</v>
      </c>
      <c r="Z8" s="11">
        <v>238</v>
      </c>
      <c r="AA8" s="11">
        <v>136</v>
      </c>
      <c r="AB8" s="11">
        <v>35</v>
      </c>
      <c r="AC8" s="38">
        <v>48</v>
      </c>
      <c r="AD8" s="11">
        <v>16</v>
      </c>
      <c r="AE8" s="11">
        <v>4</v>
      </c>
      <c r="AF8" s="38">
        <v>9.15</v>
      </c>
      <c r="AH8" s="121" t="s">
        <v>147</v>
      </c>
      <c r="AI8" s="66">
        <v>5</v>
      </c>
      <c r="AJ8" s="23">
        <v>11</v>
      </c>
      <c r="AK8" s="67">
        <v>200</v>
      </c>
      <c r="AL8" s="67">
        <v>130</v>
      </c>
      <c r="AM8" s="11">
        <v>22</v>
      </c>
      <c r="AN8" s="11">
        <v>50</v>
      </c>
      <c r="AO8" s="67">
        <v>10</v>
      </c>
      <c r="AP8" s="67">
        <v>4.5</v>
      </c>
      <c r="AQ8" s="67">
        <v>9.2</v>
      </c>
    </row>
    <row r="9" spans="1:43" s="19" customFormat="1" ht="12.75">
      <c r="A9" s="11">
        <v>2</v>
      </c>
      <c r="B9" s="11" t="s">
        <v>100</v>
      </c>
      <c r="C9" s="11">
        <v>9</v>
      </c>
      <c r="D9" s="11" t="s">
        <v>61</v>
      </c>
      <c r="E9" s="11" t="s">
        <v>62</v>
      </c>
      <c r="F9" s="13">
        <v>33937</v>
      </c>
      <c r="G9" s="11">
        <v>16</v>
      </c>
      <c r="H9" s="11">
        <v>169</v>
      </c>
      <c r="I9" s="11">
        <v>65</v>
      </c>
      <c r="J9" s="11">
        <v>85</v>
      </c>
      <c r="K9" s="11">
        <v>82</v>
      </c>
      <c r="L9" s="11">
        <v>80</v>
      </c>
      <c r="M9" s="11"/>
      <c r="N9" s="11"/>
      <c r="O9" s="11"/>
      <c r="P9" s="11" t="s">
        <v>100</v>
      </c>
      <c r="Q9" s="11">
        <v>122</v>
      </c>
      <c r="R9" s="11">
        <v>70</v>
      </c>
      <c r="S9" s="11">
        <v>43</v>
      </c>
      <c r="T9" s="11">
        <v>32</v>
      </c>
      <c r="U9" s="11">
        <v>72</v>
      </c>
      <c r="V9" s="11">
        <v>80</v>
      </c>
      <c r="W9" s="11">
        <v>144</v>
      </c>
      <c r="X9" s="11">
        <v>60</v>
      </c>
      <c r="Y9" s="11">
        <v>-6</v>
      </c>
      <c r="Z9" s="11">
        <v>209</v>
      </c>
      <c r="AA9" s="11">
        <v>132</v>
      </c>
      <c r="AB9" s="11">
        <v>35</v>
      </c>
      <c r="AC9" s="38">
        <v>52</v>
      </c>
      <c r="AD9" s="11">
        <v>11</v>
      </c>
      <c r="AE9" s="11">
        <v>4</v>
      </c>
      <c r="AF9" s="38">
        <v>9.42</v>
      </c>
      <c r="AH9" s="123"/>
      <c r="AI9" s="66">
        <v>4</v>
      </c>
      <c r="AJ9" s="11">
        <v>9</v>
      </c>
      <c r="AK9" s="11">
        <v>195</v>
      </c>
      <c r="AL9" s="11">
        <v>120</v>
      </c>
      <c r="AM9" s="11">
        <v>17</v>
      </c>
      <c r="AN9" s="11">
        <v>43</v>
      </c>
      <c r="AO9" s="11">
        <v>8</v>
      </c>
      <c r="AP9" s="11">
        <v>5</v>
      </c>
      <c r="AQ9" s="11">
        <v>10</v>
      </c>
    </row>
    <row r="10" spans="1:43" s="19" customFormat="1" ht="12.75">
      <c r="A10" s="11">
        <v>3</v>
      </c>
      <c r="B10" s="11" t="s">
        <v>101</v>
      </c>
      <c r="C10" s="11">
        <v>9</v>
      </c>
      <c r="D10" s="11" t="s">
        <v>61</v>
      </c>
      <c r="E10" s="11" t="s">
        <v>62</v>
      </c>
      <c r="F10" s="13">
        <v>34142</v>
      </c>
      <c r="G10" s="11">
        <v>15</v>
      </c>
      <c r="H10" s="11">
        <v>180</v>
      </c>
      <c r="I10" s="11">
        <v>70</v>
      </c>
      <c r="J10" s="11">
        <v>88</v>
      </c>
      <c r="K10" s="11">
        <v>83</v>
      </c>
      <c r="L10" s="11">
        <v>78</v>
      </c>
      <c r="M10" s="11"/>
      <c r="N10" s="11"/>
      <c r="O10" s="11"/>
      <c r="P10" s="11" t="s">
        <v>101</v>
      </c>
      <c r="Q10" s="11">
        <v>118</v>
      </c>
      <c r="R10" s="11">
        <v>72</v>
      </c>
      <c r="S10" s="11">
        <v>50</v>
      </c>
      <c r="T10" s="11">
        <v>45</v>
      </c>
      <c r="U10" s="11">
        <v>92</v>
      </c>
      <c r="V10" s="11">
        <v>112</v>
      </c>
      <c r="W10" s="11">
        <v>148</v>
      </c>
      <c r="X10" s="11">
        <v>80</v>
      </c>
      <c r="Y10" s="15">
        <v>19</v>
      </c>
      <c r="Z10" s="11">
        <v>222</v>
      </c>
      <c r="AA10" s="15">
        <v>126</v>
      </c>
      <c r="AB10" s="11">
        <v>37</v>
      </c>
      <c r="AC10" s="41">
        <v>56</v>
      </c>
      <c r="AD10" s="15">
        <v>6</v>
      </c>
      <c r="AE10" s="11">
        <v>4.2</v>
      </c>
      <c r="AF10" s="38">
        <v>9.23</v>
      </c>
      <c r="AH10" s="123"/>
      <c r="AI10" s="72">
        <v>3</v>
      </c>
      <c r="AJ10" s="15">
        <v>6</v>
      </c>
      <c r="AK10" s="15">
        <v>190</v>
      </c>
      <c r="AL10" s="15">
        <v>110</v>
      </c>
      <c r="AM10" s="15">
        <v>7</v>
      </c>
      <c r="AN10" s="15">
        <v>35</v>
      </c>
      <c r="AO10" s="15">
        <v>7</v>
      </c>
      <c r="AP10" s="15">
        <v>5.5</v>
      </c>
      <c r="AQ10" s="15">
        <v>11</v>
      </c>
    </row>
    <row r="11" spans="1:43" s="19" customFormat="1" ht="12.75">
      <c r="A11" s="11">
        <v>4</v>
      </c>
      <c r="B11" s="11" t="s">
        <v>102</v>
      </c>
      <c r="C11" s="11">
        <v>9</v>
      </c>
      <c r="D11" s="11" t="s">
        <v>61</v>
      </c>
      <c r="E11" s="11" t="s">
        <v>62</v>
      </c>
      <c r="F11" s="13">
        <v>34156</v>
      </c>
      <c r="G11" s="11">
        <v>15</v>
      </c>
      <c r="H11" s="11">
        <v>182</v>
      </c>
      <c r="I11" s="11">
        <v>63</v>
      </c>
      <c r="J11" s="11">
        <v>81</v>
      </c>
      <c r="K11" s="11">
        <v>79</v>
      </c>
      <c r="L11" s="11">
        <v>78</v>
      </c>
      <c r="M11" s="11"/>
      <c r="N11" s="11"/>
      <c r="O11" s="11"/>
      <c r="P11" s="11" t="s">
        <v>102</v>
      </c>
      <c r="Q11" s="11">
        <v>128</v>
      </c>
      <c r="R11" s="11">
        <v>74</v>
      </c>
      <c r="S11" s="11">
        <v>78</v>
      </c>
      <c r="T11" s="11">
        <v>60</v>
      </c>
      <c r="U11" s="11">
        <v>80</v>
      </c>
      <c r="V11" s="11">
        <v>100</v>
      </c>
      <c r="W11" s="11">
        <v>160</v>
      </c>
      <c r="X11" s="11">
        <v>100</v>
      </c>
      <c r="Y11" s="11">
        <v>14</v>
      </c>
      <c r="Z11" s="11">
        <v>237</v>
      </c>
      <c r="AA11" s="11">
        <v>137</v>
      </c>
      <c r="AB11" s="11">
        <v>35</v>
      </c>
      <c r="AC11" s="38">
        <v>45</v>
      </c>
      <c r="AD11" s="11">
        <v>11</v>
      </c>
      <c r="AE11" s="11">
        <v>3.8000000000000003</v>
      </c>
      <c r="AF11" s="38">
        <v>11.24</v>
      </c>
      <c r="AH11" s="75"/>
      <c r="AI11" s="43"/>
      <c r="AJ11" s="43"/>
      <c r="AK11" s="43"/>
      <c r="AL11" s="43"/>
      <c r="AM11" s="43"/>
      <c r="AN11" s="43"/>
      <c r="AO11" s="43"/>
      <c r="AP11" s="43"/>
      <c r="AQ11" s="28"/>
    </row>
    <row r="12" spans="1:43" s="19" customFormat="1" ht="12.75">
      <c r="A12" s="11">
        <v>5</v>
      </c>
      <c r="B12" s="11" t="s">
        <v>103</v>
      </c>
      <c r="C12" s="11">
        <v>9</v>
      </c>
      <c r="D12" s="11" t="s">
        <v>61</v>
      </c>
      <c r="E12" s="11" t="s">
        <v>62</v>
      </c>
      <c r="F12" s="13">
        <v>34159</v>
      </c>
      <c r="G12" s="11">
        <v>15</v>
      </c>
      <c r="H12" s="11">
        <v>160</v>
      </c>
      <c r="I12" s="11">
        <v>50</v>
      </c>
      <c r="J12" s="11">
        <v>82</v>
      </c>
      <c r="K12" s="11">
        <v>79</v>
      </c>
      <c r="L12" s="11">
        <v>77</v>
      </c>
      <c r="M12" s="11"/>
      <c r="N12" s="11"/>
      <c r="O12" s="11"/>
      <c r="P12" s="11" t="s">
        <v>103</v>
      </c>
      <c r="Q12" s="11">
        <v>130</v>
      </c>
      <c r="R12" s="11">
        <v>70</v>
      </c>
      <c r="S12" s="11">
        <v>80</v>
      </c>
      <c r="T12" s="11">
        <v>56</v>
      </c>
      <c r="U12" s="11">
        <v>92</v>
      </c>
      <c r="V12" s="11">
        <v>112</v>
      </c>
      <c r="W12" s="11">
        <v>160</v>
      </c>
      <c r="X12" s="11">
        <v>80</v>
      </c>
      <c r="Y12" s="12">
        <v>16</v>
      </c>
      <c r="Z12" s="11">
        <v>213</v>
      </c>
      <c r="AA12" s="12">
        <v>152</v>
      </c>
      <c r="AB12" s="11">
        <v>37</v>
      </c>
      <c r="AC12" s="38">
        <v>46</v>
      </c>
      <c r="AD12" s="12">
        <v>13</v>
      </c>
      <c r="AE12" s="11">
        <v>4.1</v>
      </c>
      <c r="AF12" s="38">
        <v>10.07</v>
      </c>
      <c r="AH12" s="121" t="s">
        <v>148</v>
      </c>
      <c r="AI12" s="73">
        <v>5</v>
      </c>
      <c r="AJ12" s="12">
        <v>18</v>
      </c>
      <c r="AK12" s="12">
        <v>185</v>
      </c>
      <c r="AL12" s="12">
        <v>130</v>
      </c>
      <c r="AM12" s="12">
        <v>9</v>
      </c>
      <c r="AN12" s="12">
        <v>35</v>
      </c>
      <c r="AO12" s="12">
        <v>7</v>
      </c>
      <c r="AP12" s="12">
        <v>5.1</v>
      </c>
      <c r="AQ12" s="12">
        <v>10.2</v>
      </c>
    </row>
    <row r="13" spans="1:43" s="19" customFormat="1" ht="12.75">
      <c r="A13" s="11">
        <v>6</v>
      </c>
      <c r="B13" s="11" t="s">
        <v>104</v>
      </c>
      <c r="C13" s="11">
        <v>9</v>
      </c>
      <c r="D13" s="11" t="s">
        <v>61</v>
      </c>
      <c r="E13" s="11" t="s">
        <v>62</v>
      </c>
      <c r="F13" s="13">
        <v>33976</v>
      </c>
      <c r="G13" s="11">
        <v>15</v>
      </c>
      <c r="H13" s="11">
        <v>173</v>
      </c>
      <c r="I13" s="11">
        <v>65</v>
      </c>
      <c r="J13" s="11">
        <v>88</v>
      </c>
      <c r="K13" s="11">
        <v>85</v>
      </c>
      <c r="L13" s="11">
        <v>82</v>
      </c>
      <c r="M13" s="11"/>
      <c r="N13" s="11"/>
      <c r="O13" s="11"/>
      <c r="P13" s="11" t="s">
        <v>104</v>
      </c>
      <c r="Q13" s="11">
        <v>120</v>
      </c>
      <c r="R13" s="11">
        <v>70</v>
      </c>
      <c r="S13" s="11">
        <v>50</v>
      </c>
      <c r="T13" s="11">
        <v>43</v>
      </c>
      <c r="U13" s="11">
        <v>68</v>
      </c>
      <c r="V13" s="11">
        <v>80</v>
      </c>
      <c r="W13" s="11">
        <v>128</v>
      </c>
      <c r="X13" s="11">
        <v>68</v>
      </c>
      <c r="Y13" s="11">
        <v>17</v>
      </c>
      <c r="Z13" s="11">
        <v>224</v>
      </c>
      <c r="AA13" s="11">
        <v>125</v>
      </c>
      <c r="AB13" s="11">
        <v>35</v>
      </c>
      <c r="AC13" s="38">
        <v>46</v>
      </c>
      <c r="AD13" s="11">
        <v>17</v>
      </c>
      <c r="AE13" s="11">
        <v>3.9</v>
      </c>
      <c r="AF13" s="38">
        <v>9.23</v>
      </c>
      <c r="AH13" s="123"/>
      <c r="AI13" s="66">
        <v>4</v>
      </c>
      <c r="AJ13" s="11">
        <v>14</v>
      </c>
      <c r="AK13" s="11">
        <v>178</v>
      </c>
      <c r="AL13" s="11">
        <v>90</v>
      </c>
      <c r="AM13" s="11">
        <v>5</v>
      </c>
      <c r="AN13" s="11">
        <v>30</v>
      </c>
      <c r="AO13" s="11">
        <v>4</v>
      </c>
      <c r="AP13" s="11">
        <v>5.5</v>
      </c>
      <c r="AQ13" s="11">
        <v>12</v>
      </c>
    </row>
    <row r="14" spans="1:43" s="19" customFormat="1" ht="12.75">
      <c r="A14" s="11">
        <v>7</v>
      </c>
      <c r="B14" s="11" t="s">
        <v>105</v>
      </c>
      <c r="C14" s="11">
        <v>9</v>
      </c>
      <c r="D14" s="11" t="s">
        <v>61</v>
      </c>
      <c r="E14" s="11" t="s">
        <v>62</v>
      </c>
      <c r="F14" s="13">
        <v>33807</v>
      </c>
      <c r="G14" s="11">
        <v>16</v>
      </c>
      <c r="H14" s="11">
        <v>172</v>
      </c>
      <c r="I14" s="11">
        <v>59</v>
      </c>
      <c r="J14" s="11">
        <v>83</v>
      </c>
      <c r="K14" s="11">
        <v>81</v>
      </c>
      <c r="L14" s="11">
        <v>79</v>
      </c>
      <c r="M14" s="11"/>
      <c r="N14" s="11"/>
      <c r="O14" s="11"/>
      <c r="P14" s="11" t="s">
        <v>105</v>
      </c>
      <c r="Q14" s="11">
        <v>135</v>
      </c>
      <c r="R14" s="11">
        <v>75</v>
      </c>
      <c r="S14" s="11">
        <v>33</v>
      </c>
      <c r="T14" s="11">
        <v>24</v>
      </c>
      <c r="U14" s="11">
        <v>60</v>
      </c>
      <c r="V14" s="11">
        <v>92</v>
      </c>
      <c r="W14" s="11">
        <v>152</v>
      </c>
      <c r="X14" s="11">
        <v>100</v>
      </c>
      <c r="Y14" s="11">
        <v>2</v>
      </c>
      <c r="Z14" s="11">
        <v>245</v>
      </c>
      <c r="AA14" s="11">
        <v>142</v>
      </c>
      <c r="AB14" s="11">
        <v>35</v>
      </c>
      <c r="AC14" s="38">
        <v>51</v>
      </c>
      <c r="AD14" s="11">
        <v>11</v>
      </c>
      <c r="AE14" s="11">
        <v>3.8000000000000003</v>
      </c>
      <c r="AF14" s="38">
        <v>10.27</v>
      </c>
      <c r="AH14" s="122"/>
      <c r="AI14" s="66">
        <v>3</v>
      </c>
      <c r="AJ14" s="11">
        <v>11</v>
      </c>
      <c r="AK14" s="11">
        <v>170</v>
      </c>
      <c r="AL14" s="11">
        <v>60</v>
      </c>
      <c r="AM14" s="11">
        <v>3</v>
      </c>
      <c r="AN14" s="11">
        <v>25</v>
      </c>
      <c r="AO14" s="11">
        <v>2</v>
      </c>
      <c r="AP14" s="68">
        <v>5.9</v>
      </c>
      <c r="AQ14" s="68">
        <v>13</v>
      </c>
    </row>
    <row r="15" spans="1:32" s="19" customFormat="1" ht="12.75">
      <c r="A15" s="11">
        <v>8</v>
      </c>
      <c r="B15" s="11" t="s">
        <v>106</v>
      </c>
      <c r="C15" s="11">
        <v>9</v>
      </c>
      <c r="D15" s="11" t="s">
        <v>61</v>
      </c>
      <c r="E15" s="11" t="s">
        <v>62</v>
      </c>
      <c r="F15" s="13">
        <v>34451</v>
      </c>
      <c r="G15" s="11">
        <v>14</v>
      </c>
      <c r="H15" s="11">
        <v>188</v>
      </c>
      <c r="I15" s="11">
        <v>68</v>
      </c>
      <c r="J15" s="11">
        <v>81</v>
      </c>
      <c r="K15" s="11">
        <v>79</v>
      </c>
      <c r="L15" s="11">
        <v>76</v>
      </c>
      <c r="M15" s="11"/>
      <c r="N15" s="11"/>
      <c r="O15" s="11"/>
      <c r="P15" s="11" t="s">
        <v>106</v>
      </c>
      <c r="Q15" s="11">
        <v>124</v>
      </c>
      <c r="R15" s="11">
        <v>74</v>
      </c>
      <c r="S15" s="11">
        <v>60</v>
      </c>
      <c r="T15" s="11">
        <v>48</v>
      </c>
      <c r="U15" s="11">
        <v>80</v>
      </c>
      <c r="V15" s="11">
        <v>104</v>
      </c>
      <c r="W15" s="11">
        <v>140</v>
      </c>
      <c r="X15" s="11">
        <v>100</v>
      </c>
      <c r="Y15" s="11">
        <v>14</v>
      </c>
      <c r="Z15" s="11">
        <v>224</v>
      </c>
      <c r="AA15" s="11">
        <v>134</v>
      </c>
      <c r="AB15" s="15">
        <v>35</v>
      </c>
      <c r="AC15" s="38">
        <v>48</v>
      </c>
      <c r="AD15" s="11">
        <v>7</v>
      </c>
      <c r="AE15" s="11">
        <v>4.7</v>
      </c>
      <c r="AF15" s="41">
        <v>11.21</v>
      </c>
    </row>
    <row r="16" spans="1:32" s="19" customFormat="1" ht="12.75">
      <c r="A16" s="11">
        <v>9</v>
      </c>
      <c r="B16" s="11" t="s">
        <v>107</v>
      </c>
      <c r="C16" s="11">
        <v>9</v>
      </c>
      <c r="D16" s="11" t="s">
        <v>61</v>
      </c>
      <c r="E16" s="11" t="s">
        <v>62</v>
      </c>
      <c r="F16" s="13">
        <v>34317</v>
      </c>
      <c r="G16" s="11">
        <v>15</v>
      </c>
      <c r="H16" s="11">
        <v>180</v>
      </c>
      <c r="I16" s="11">
        <v>58</v>
      </c>
      <c r="J16" s="11">
        <v>81</v>
      </c>
      <c r="K16" s="11">
        <v>77</v>
      </c>
      <c r="L16" s="11">
        <v>74</v>
      </c>
      <c r="M16" s="11"/>
      <c r="N16" s="11"/>
      <c r="O16" s="11"/>
      <c r="P16" s="11" t="s">
        <v>107</v>
      </c>
      <c r="Q16" s="11">
        <v>120</v>
      </c>
      <c r="R16" s="11">
        <v>70</v>
      </c>
      <c r="S16" s="11">
        <v>30</v>
      </c>
      <c r="T16" s="11">
        <v>24</v>
      </c>
      <c r="U16" s="11">
        <v>64</v>
      </c>
      <c r="V16" s="11">
        <v>80</v>
      </c>
      <c r="W16" s="11">
        <v>124</v>
      </c>
      <c r="X16" s="11">
        <v>56</v>
      </c>
      <c r="Y16" s="11">
        <v>-8</v>
      </c>
      <c r="Z16" s="11">
        <v>203</v>
      </c>
      <c r="AA16" s="11">
        <v>124</v>
      </c>
      <c r="AB16" s="15">
        <v>25</v>
      </c>
      <c r="AC16" s="38">
        <v>50</v>
      </c>
      <c r="AD16" s="11">
        <v>6</v>
      </c>
      <c r="AE16" s="11">
        <v>4.2</v>
      </c>
      <c r="AF16" s="41">
        <v>8.26</v>
      </c>
    </row>
    <row r="17" spans="1:32" s="19" customFormat="1" ht="12.75">
      <c r="A17" s="11">
        <v>10</v>
      </c>
      <c r="B17" s="11" t="s">
        <v>108</v>
      </c>
      <c r="C17" s="11">
        <v>9</v>
      </c>
      <c r="D17" s="11" t="s">
        <v>61</v>
      </c>
      <c r="E17" s="11" t="s">
        <v>62</v>
      </c>
      <c r="F17" s="13">
        <v>34020</v>
      </c>
      <c r="G17" s="11">
        <v>15</v>
      </c>
      <c r="H17" s="11">
        <v>175</v>
      </c>
      <c r="I17" s="11">
        <v>62</v>
      </c>
      <c r="J17" s="11">
        <v>84</v>
      </c>
      <c r="K17" s="11">
        <v>82</v>
      </c>
      <c r="L17" s="11">
        <v>81</v>
      </c>
      <c r="M17" s="11"/>
      <c r="N17" s="11"/>
      <c r="O17" s="11"/>
      <c r="P17" s="11" t="s">
        <v>108</v>
      </c>
      <c r="Q17" s="11">
        <v>105</v>
      </c>
      <c r="R17" s="11">
        <v>65</v>
      </c>
      <c r="S17" s="11">
        <v>66</v>
      </c>
      <c r="T17" s="11">
        <v>42</v>
      </c>
      <c r="U17" s="11">
        <v>80</v>
      </c>
      <c r="V17" s="11">
        <v>102</v>
      </c>
      <c r="W17" s="11">
        <v>140</v>
      </c>
      <c r="X17" s="11">
        <v>80</v>
      </c>
      <c r="Y17" s="11">
        <v>9</v>
      </c>
      <c r="Z17" s="11">
        <v>216</v>
      </c>
      <c r="AA17" s="11">
        <v>109</v>
      </c>
      <c r="AB17" s="11">
        <v>35</v>
      </c>
      <c r="AC17" s="38">
        <v>45</v>
      </c>
      <c r="AD17" s="11">
        <v>7</v>
      </c>
      <c r="AE17" s="11">
        <v>4.5</v>
      </c>
      <c r="AF17" s="38">
        <v>13.23</v>
      </c>
    </row>
    <row r="18" spans="1:32" s="19" customFormat="1" ht="12.75">
      <c r="A18" s="11">
        <v>11</v>
      </c>
      <c r="B18" s="11" t="s">
        <v>109</v>
      </c>
      <c r="C18" s="11">
        <v>9</v>
      </c>
      <c r="D18" s="11" t="s">
        <v>61</v>
      </c>
      <c r="E18" s="11" t="s">
        <v>62</v>
      </c>
      <c r="F18" s="13">
        <v>34250</v>
      </c>
      <c r="G18" s="11">
        <v>15</v>
      </c>
      <c r="H18" s="11">
        <v>176</v>
      </c>
      <c r="I18" s="11">
        <v>59</v>
      </c>
      <c r="J18" s="11">
        <v>81</v>
      </c>
      <c r="K18" s="11">
        <v>80</v>
      </c>
      <c r="L18" s="11">
        <v>79</v>
      </c>
      <c r="M18" s="11"/>
      <c r="N18" s="11"/>
      <c r="O18" s="11"/>
      <c r="P18" s="11" t="s">
        <v>109</v>
      </c>
      <c r="Q18" s="11">
        <v>115</v>
      </c>
      <c r="R18" s="11">
        <v>65</v>
      </c>
      <c r="S18" s="11">
        <v>43</v>
      </c>
      <c r="T18" s="11">
        <v>32</v>
      </c>
      <c r="U18" s="11">
        <v>76</v>
      </c>
      <c r="V18" s="11">
        <v>84</v>
      </c>
      <c r="W18" s="11">
        <v>148</v>
      </c>
      <c r="X18" s="11">
        <v>80</v>
      </c>
      <c r="Y18" s="11">
        <v>-1</v>
      </c>
      <c r="Z18" s="11">
        <v>180</v>
      </c>
      <c r="AA18" s="11">
        <v>102</v>
      </c>
      <c r="AB18" s="15">
        <v>28</v>
      </c>
      <c r="AC18" s="38">
        <v>44</v>
      </c>
      <c r="AD18" s="11">
        <v>2</v>
      </c>
      <c r="AE18" s="11">
        <v>4.7</v>
      </c>
      <c r="AF18" s="41">
        <v>13.4</v>
      </c>
    </row>
    <row r="19" spans="1:32" s="19" customFormat="1" ht="12.75">
      <c r="A19" s="11">
        <v>12</v>
      </c>
      <c r="B19" s="11" t="s">
        <v>110</v>
      </c>
      <c r="C19" s="15">
        <v>9</v>
      </c>
      <c r="D19" s="15" t="s">
        <v>61</v>
      </c>
      <c r="E19" s="15" t="s">
        <v>62</v>
      </c>
      <c r="F19" s="32">
        <v>34519</v>
      </c>
      <c r="G19" s="15">
        <v>14</v>
      </c>
      <c r="H19" s="15">
        <v>175</v>
      </c>
      <c r="I19" s="15">
        <v>96</v>
      </c>
      <c r="J19" s="15">
        <v>98</v>
      </c>
      <c r="K19" s="15">
        <v>97</v>
      </c>
      <c r="L19" s="15">
        <v>96</v>
      </c>
      <c r="M19" s="15"/>
      <c r="N19" s="15"/>
      <c r="O19" s="15"/>
      <c r="P19" s="11" t="s">
        <v>110</v>
      </c>
      <c r="Q19" s="15">
        <v>138</v>
      </c>
      <c r="R19" s="15">
        <v>80</v>
      </c>
      <c r="S19" s="15">
        <v>46</v>
      </c>
      <c r="T19" s="15">
        <v>33</v>
      </c>
      <c r="U19" s="15">
        <v>80</v>
      </c>
      <c r="V19" s="15">
        <v>88</v>
      </c>
      <c r="W19" s="15">
        <v>164</v>
      </c>
      <c r="X19" s="15">
        <v>100</v>
      </c>
      <c r="Y19" s="11">
        <v>-10</v>
      </c>
      <c r="Z19" s="11">
        <v>179</v>
      </c>
      <c r="AA19" s="11">
        <v>108</v>
      </c>
      <c r="AB19" s="11">
        <v>2</v>
      </c>
      <c r="AC19" s="38">
        <v>1</v>
      </c>
      <c r="AD19" s="11">
        <v>0</v>
      </c>
      <c r="AE19" s="11">
        <v>6.1000000000000005</v>
      </c>
      <c r="AF19" s="38">
        <v>14.35</v>
      </c>
    </row>
    <row r="20" spans="1:32" s="19" customFormat="1" ht="12.75">
      <c r="A20" s="26"/>
      <c r="B20" s="58"/>
      <c r="C20" s="42"/>
      <c r="D20" s="43"/>
      <c r="E20" s="43"/>
      <c r="F20" s="57"/>
      <c r="G20" s="43"/>
      <c r="H20" s="43"/>
      <c r="I20" s="43"/>
      <c r="J20" s="43"/>
      <c r="K20" s="43"/>
      <c r="L20" s="43"/>
      <c r="M20" s="43"/>
      <c r="N20" s="43"/>
      <c r="O20" s="28"/>
      <c r="P20" s="30"/>
      <c r="Q20" s="42"/>
      <c r="R20" s="43"/>
      <c r="S20" s="43"/>
      <c r="T20" s="43"/>
      <c r="U20" s="43"/>
      <c r="V20" s="43"/>
      <c r="W20" s="43"/>
      <c r="X20" s="28"/>
      <c r="Y20" s="59"/>
      <c r="Z20" s="60"/>
      <c r="AA20" s="61"/>
      <c r="AB20" s="43"/>
      <c r="AC20" s="62"/>
      <c r="AD20" s="61"/>
      <c r="AE20" s="60"/>
      <c r="AF20" s="63"/>
    </row>
    <row r="21" spans="1:32" s="19" customFormat="1" ht="12.75">
      <c r="A21" s="11">
        <v>13</v>
      </c>
      <c r="B21" s="11" t="s">
        <v>111</v>
      </c>
      <c r="C21" s="12">
        <v>9</v>
      </c>
      <c r="D21" s="12" t="s">
        <v>61</v>
      </c>
      <c r="E21" s="12" t="s">
        <v>68</v>
      </c>
      <c r="F21" s="56">
        <v>34583</v>
      </c>
      <c r="G21" s="12">
        <v>14</v>
      </c>
      <c r="H21" s="12">
        <v>174</v>
      </c>
      <c r="I21" s="12">
        <v>61</v>
      </c>
      <c r="J21" s="12">
        <v>80</v>
      </c>
      <c r="K21" s="12">
        <v>75</v>
      </c>
      <c r="L21" s="12">
        <v>72</v>
      </c>
      <c r="M21" s="12"/>
      <c r="N21" s="12"/>
      <c r="O21" s="12"/>
      <c r="P21" s="11" t="s">
        <v>111</v>
      </c>
      <c r="Q21" s="12">
        <v>120</v>
      </c>
      <c r="R21" s="12">
        <v>70</v>
      </c>
      <c r="S21" s="12">
        <v>30</v>
      </c>
      <c r="T21" s="12">
        <v>26</v>
      </c>
      <c r="U21" s="12">
        <v>68</v>
      </c>
      <c r="V21" s="12">
        <v>80</v>
      </c>
      <c r="W21" s="12">
        <v>112</v>
      </c>
      <c r="X21" s="12">
        <v>68</v>
      </c>
      <c r="Y21" s="11">
        <v>26</v>
      </c>
      <c r="Z21" s="11">
        <v>198</v>
      </c>
      <c r="AA21" s="11">
        <v>156</v>
      </c>
      <c r="AB21" s="11">
        <v>9</v>
      </c>
      <c r="AC21" s="38">
        <v>40</v>
      </c>
      <c r="AD21" s="11">
        <v>7</v>
      </c>
      <c r="AE21" s="11">
        <v>4.4</v>
      </c>
      <c r="AF21" s="38">
        <v>9.24</v>
      </c>
    </row>
    <row r="22" spans="1:32" s="19" customFormat="1" ht="12.75">
      <c r="A22" s="11">
        <v>14</v>
      </c>
      <c r="B22" s="11" t="s">
        <v>112</v>
      </c>
      <c r="C22" s="11">
        <v>9</v>
      </c>
      <c r="D22" s="11" t="s">
        <v>61</v>
      </c>
      <c r="E22" s="11" t="s">
        <v>68</v>
      </c>
      <c r="F22" s="13">
        <v>33680</v>
      </c>
      <c r="G22" s="11">
        <v>16</v>
      </c>
      <c r="H22" s="11">
        <v>156</v>
      </c>
      <c r="I22" s="11">
        <v>49</v>
      </c>
      <c r="J22" s="11">
        <v>73</v>
      </c>
      <c r="K22" s="11">
        <v>69</v>
      </c>
      <c r="L22" s="11">
        <v>67</v>
      </c>
      <c r="M22" s="11"/>
      <c r="N22" s="11"/>
      <c r="O22" s="11"/>
      <c r="P22" s="11" t="s">
        <v>112</v>
      </c>
      <c r="Q22" s="11">
        <v>122</v>
      </c>
      <c r="R22" s="11">
        <v>70</v>
      </c>
      <c r="S22" s="11">
        <v>81</v>
      </c>
      <c r="T22" s="11">
        <v>50</v>
      </c>
      <c r="U22" s="11">
        <v>80</v>
      </c>
      <c r="V22" s="11">
        <v>92</v>
      </c>
      <c r="W22" s="11">
        <v>128</v>
      </c>
      <c r="X22" s="11">
        <v>84</v>
      </c>
      <c r="Y22" s="11">
        <v>18</v>
      </c>
      <c r="Z22" s="11">
        <v>187</v>
      </c>
      <c r="AA22" s="11">
        <v>164</v>
      </c>
      <c r="AB22" s="11">
        <v>15</v>
      </c>
      <c r="AC22" s="38">
        <v>40</v>
      </c>
      <c r="AD22" s="11">
        <v>15</v>
      </c>
      <c r="AE22" s="11">
        <v>4.5</v>
      </c>
      <c r="AF22" s="38">
        <v>10.08</v>
      </c>
    </row>
    <row r="23" spans="1:32" s="19" customFormat="1" ht="12.75">
      <c r="A23" s="11">
        <v>15</v>
      </c>
      <c r="B23" s="11" t="s">
        <v>113</v>
      </c>
      <c r="C23" s="11">
        <v>9</v>
      </c>
      <c r="D23" s="11" t="s">
        <v>61</v>
      </c>
      <c r="E23" s="11" t="s">
        <v>68</v>
      </c>
      <c r="F23" s="13">
        <v>34277</v>
      </c>
      <c r="G23" s="11">
        <v>15</v>
      </c>
      <c r="H23" s="11">
        <v>158</v>
      </c>
      <c r="I23" s="11">
        <v>55</v>
      </c>
      <c r="J23" s="11">
        <v>75</v>
      </c>
      <c r="K23" s="11">
        <v>73</v>
      </c>
      <c r="L23" s="11">
        <v>72</v>
      </c>
      <c r="M23" s="11"/>
      <c r="N23" s="11"/>
      <c r="O23" s="11"/>
      <c r="P23" s="11" t="s">
        <v>113</v>
      </c>
      <c r="Q23" s="11">
        <v>128</v>
      </c>
      <c r="R23" s="11">
        <v>75</v>
      </c>
      <c r="S23" s="11">
        <v>80</v>
      </c>
      <c r="T23" s="11">
        <v>47</v>
      </c>
      <c r="U23" s="11">
        <v>80</v>
      </c>
      <c r="V23" s="11">
        <v>108</v>
      </c>
      <c r="W23" s="11">
        <v>140</v>
      </c>
      <c r="X23" s="11">
        <v>108</v>
      </c>
      <c r="Y23" s="11">
        <v>25</v>
      </c>
      <c r="Z23" s="11">
        <v>178</v>
      </c>
      <c r="AA23" s="11">
        <v>124</v>
      </c>
      <c r="AB23" s="12">
        <v>16</v>
      </c>
      <c r="AC23" s="38">
        <v>49</v>
      </c>
      <c r="AD23" s="11">
        <v>6</v>
      </c>
      <c r="AE23" s="11">
        <v>4.3</v>
      </c>
      <c r="AF23" s="40">
        <v>12.22</v>
      </c>
    </row>
    <row r="24" spans="1:32" s="19" customFormat="1" ht="12.75">
      <c r="A24" s="11">
        <v>16</v>
      </c>
      <c r="B24" s="11" t="s">
        <v>114</v>
      </c>
      <c r="C24" s="11">
        <v>9</v>
      </c>
      <c r="D24" s="11" t="s">
        <v>61</v>
      </c>
      <c r="E24" s="11" t="s">
        <v>68</v>
      </c>
      <c r="F24" s="13">
        <v>34020</v>
      </c>
      <c r="G24" s="11">
        <v>15</v>
      </c>
      <c r="H24" s="11">
        <v>159</v>
      </c>
      <c r="I24" s="11">
        <v>60</v>
      </c>
      <c r="J24" s="11">
        <v>79</v>
      </c>
      <c r="K24" s="11">
        <v>77</v>
      </c>
      <c r="L24" s="11">
        <v>76</v>
      </c>
      <c r="M24" s="11"/>
      <c r="N24" s="11"/>
      <c r="O24" s="11"/>
      <c r="P24" s="11" t="s">
        <v>114</v>
      </c>
      <c r="Q24" s="11">
        <v>129</v>
      </c>
      <c r="R24" s="11">
        <v>74</v>
      </c>
      <c r="S24" s="11">
        <v>56</v>
      </c>
      <c r="T24" s="11">
        <v>44</v>
      </c>
      <c r="U24" s="11">
        <v>76</v>
      </c>
      <c r="V24" s="11">
        <v>88</v>
      </c>
      <c r="W24" s="11">
        <v>136</v>
      </c>
      <c r="X24" s="11">
        <v>88</v>
      </c>
      <c r="Y24" s="11">
        <v>18</v>
      </c>
      <c r="Z24" s="11">
        <v>180</v>
      </c>
      <c r="AA24" s="11">
        <v>143</v>
      </c>
      <c r="AB24" s="11">
        <v>4</v>
      </c>
      <c r="AC24" s="38">
        <v>40</v>
      </c>
      <c r="AD24" s="11">
        <v>5</v>
      </c>
      <c r="AE24" s="11">
        <v>4.6</v>
      </c>
      <c r="AF24" s="38">
        <v>11.47</v>
      </c>
    </row>
    <row r="25" spans="1:32" s="19" customFormat="1" ht="12.75">
      <c r="A25" s="11">
        <v>17</v>
      </c>
      <c r="B25" s="11" t="s">
        <v>115</v>
      </c>
      <c r="C25" s="11">
        <v>9</v>
      </c>
      <c r="D25" s="11" t="s">
        <v>61</v>
      </c>
      <c r="E25" s="11" t="s">
        <v>68</v>
      </c>
      <c r="F25" s="13">
        <v>34239</v>
      </c>
      <c r="G25" s="11">
        <v>15</v>
      </c>
      <c r="H25" s="11">
        <v>167</v>
      </c>
      <c r="I25" s="11">
        <v>63</v>
      </c>
      <c r="J25" s="11">
        <v>84</v>
      </c>
      <c r="K25" s="11">
        <v>83</v>
      </c>
      <c r="L25" s="11">
        <v>83</v>
      </c>
      <c r="M25" s="11"/>
      <c r="N25" s="11"/>
      <c r="O25" s="11"/>
      <c r="P25" s="11" t="s">
        <v>115</v>
      </c>
      <c r="Q25" s="11">
        <v>120</v>
      </c>
      <c r="R25" s="11">
        <v>65</v>
      </c>
      <c r="S25" s="11">
        <v>50</v>
      </c>
      <c r="T25" s="11">
        <v>42</v>
      </c>
      <c r="U25" s="11">
        <v>80</v>
      </c>
      <c r="V25" s="11">
        <v>108</v>
      </c>
      <c r="W25" s="11">
        <v>148</v>
      </c>
      <c r="X25" s="11">
        <v>92</v>
      </c>
      <c r="Y25" s="11">
        <v>21</v>
      </c>
      <c r="Z25" s="11">
        <v>153</v>
      </c>
      <c r="AA25" s="11">
        <v>123</v>
      </c>
      <c r="AB25" s="11">
        <v>5</v>
      </c>
      <c r="AC25" s="38">
        <v>40</v>
      </c>
      <c r="AD25" s="11">
        <v>5</v>
      </c>
      <c r="AE25" s="11">
        <v>4.9</v>
      </c>
      <c r="AF25" s="38">
        <v>14.24</v>
      </c>
    </row>
    <row r="26" spans="1:32" s="19" customFormat="1" ht="12.75">
      <c r="A26" s="11">
        <v>18</v>
      </c>
      <c r="B26" s="11" t="s">
        <v>116</v>
      </c>
      <c r="C26" s="11">
        <v>9</v>
      </c>
      <c r="D26" s="11" t="s">
        <v>61</v>
      </c>
      <c r="E26" s="11" t="s">
        <v>68</v>
      </c>
      <c r="F26" s="13">
        <v>33636</v>
      </c>
      <c r="G26" s="11">
        <v>16</v>
      </c>
      <c r="H26" s="11">
        <v>169</v>
      </c>
      <c r="I26" s="11">
        <v>59</v>
      </c>
      <c r="J26" s="11">
        <v>79</v>
      </c>
      <c r="K26" s="11">
        <v>77</v>
      </c>
      <c r="L26" s="11">
        <v>76</v>
      </c>
      <c r="M26" s="11"/>
      <c r="N26" s="11"/>
      <c r="O26" s="11"/>
      <c r="P26" s="11" t="s">
        <v>116</v>
      </c>
      <c r="Q26" s="11">
        <v>120</v>
      </c>
      <c r="R26" s="11">
        <v>66</v>
      </c>
      <c r="S26" s="11">
        <v>54</v>
      </c>
      <c r="T26" s="11">
        <v>35</v>
      </c>
      <c r="U26" s="11">
        <v>68</v>
      </c>
      <c r="V26" s="11">
        <v>88</v>
      </c>
      <c r="W26" s="11">
        <v>136</v>
      </c>
      <c r="X26" s="11">
        <v>96</v>
      </c>
      <c r="Y26" s="12">
        <v>23</v>
      </c>
      <c r="Z26" s="11">
        <v>168</v>
      </c>
      <c r="AA26" s="12">
        <v>134</v>
      </c>
      <c r="AB26" s="11">
        <v>5</v>
      </c>
      <c r="AC26" s="40">
        <v>35</v>
      </c>
      <c r="AD26" s="12">
        <v>5</v>
      </c>
      <c r="AE26" s="11">
        <v>4.5</v>
      </c>
      <c r="AF26" s="38">
        <v>11.450000000000001</v>
      </c>
    </row>
    <row r="27" spans="1:32" s="19" customFormat="1" ht="12.75">
      <c r="A27" s="11">
        <v>19</v>
      </c>
      <c r="B27" s="11" t="s">
        <v>117</v>
      </c>
      <c r="C27" s="11">
        <v>9</v>
      </c>
      <c r="D27" s="11" t="s">
        <v>61</v>
      </c>
      <c r="E27" s="11" t="s">
        <v>68</v>
      </c>
      <c r="F27" s="13">
        <v>34449</v>
      </c>
      <c r="G27" s="11">
        <v>14</v>
      </c>
      <c r="H27" s="11">
        <v>169</v>
      </c>
      <c r="I27" s="11">
        <v>62</v>
      </c>
      <c r="J27" s="11">
        <v>74</v>
      </c>
      <c r="K27" s="11">
        <v>73</v>
      </c>
      <c r="L27" s="11">
        <v>72</v>
      </c>
      <c r="M27" s="11"/>
      <c r="N27" s="11"/>
      <c r="O27" s="11"/>
      <c r="P27" s="11" t="s">
        <v>117</v>
      </c>
      <c r="Q27" s="11">
        <v>130</v>
      </c>
      <c r="R27" s="11">
        <v>76</v>
      </c>
      <c r="S27" s="11">
        <v>40</v>
      </c>
      <c r="T27" s="11">
        <v>22</v>
      </c>
      <c r="U27" s="11">
        <v>88</v>
      </c>
      <c r="V27" s="11">
        <v>100</v>
      </c>
      <c r="W27" s="11">
        <v>144</v>
      </c>
      <c r="X27" s="11">
        <v>92</v>
      </c>
      <c r="Y27" s="11">
        <v>16</v>
      </c>
      <c r="Z27" s="11">
        <v>155</v>
      </c>
      <c r="AA27" s="11">
        <v>137</v>
      </c>
      <c r="AB27" s="11">
        <v>1</v>
      </c>
      <c r="AC27" s="38">
        <v>41</v>
      </c>
      <c r="AD27" s="11">
        <v>0</v>
      </c>
      <c r="AE27" s="11">
        <v>5</v>
      </c>
      <c r="AF27" s="38">
        <v>13.31</v>
      </c>
    </row>
    <row r="28" spans="1:32" s="19" customFormat="1" ht="12.75">
      <c r="A28" s="11">
        <v>20</v>
      </c>
      <c r="B28" s="11" t="s">
        <v>118</v>
      </c>
      <c r="C28" s="11">
        <v>9</v>
      </c>
      <c r="D28" s="11" t="s">
        <v>61</v>
      </c>
      <c r="E28" s="11" t="s">
        <v>68</v>
      </c>
      <c r="F28" s="13">
        <v>34348</v>
      </c>
      <c r="G28" s="11">
        <v>14</v>
      </c>
      <c r="H28" s="11">
        <v>156</v>
      </c>
      <c r="I28" s="11">
        <v>45</v>
      </c>
      <c r="J28" s="11">
        <v>63</v>
      </c>
      <c r="K28" s="11">
        <v>61</v>
      </c>
      <c r="L28" s="11">
        <v>60</v>
      </c>
      <c r="M28" s="11"/>
      <c r="N28" s="11"/>
      <c r="O28" s="11"/>
      <c r="P28" s="11" t="s">
        <v>118</v>
      </c>
      <c r="Q28" s="11">
        <v>126</v>
      </c>
      <c r="R28" s="11">
        <v>70</v>
      </c>
      <c r="S28" s="11">
        <v>50</v>
      </c>
      <c r="T28" s="11">
        <v>27</v>
      </c>
      <c r="U28" s="11">
        <v>80</v>
      </c>
      <c r="V28" s="11">
        <v>100</v>
      </c>
      <c r="W28" s="11">
        <v>136</v>
      </c>
      <c r="X28" s="11">
        <v>92</v>
      </c>
      <c r="Y28" s="11">
        <v>16</v>
      </c>
      <c r="Z28" s="11">
        <v>154</v>
      </c>
      <c r="AA28" s="11">
        <v>123</v>
      </c>
      <c r="AB28" s="11">
        <v>4</v>
      </c>
      <c r="AC28" s="38">
        <v>30</v>
      </c>
      <c r="AD28" s="11">
        <v>6</v>
      </c>
      <c r="AE28" s="11">
        <v>4.7</v>
      </c>
      <c r="AF28" s="38">
        <v>11.200000000000001</v>
      </c>
    </row>
    <row r="29" spans="1:32" s="19" customFormat="1" ht="12.75">
      <c r="A29" s="11">
        <v>21</v>
      </c>
      <c r="B29" s="11" t="s">
        <v>119</v>
      </c>
      <c r="C29" s="11">
        <v>9</v>
      </c>
      <c r="D29" s="11" t="s">
        <v>61</v>
      </c>
      <c r="E29" s="11" t="s">
        <v>68</v>
      </c>
      <c r="F29" s="13">
        <v>34278</v>
      </c>
      <c r="G29" s="11">
        <v>15</v>
      </c>
      <c r="H29" s="11">
        <v>153</v>
      </c>
      <c r="I29" s="11">
        <v>60</v>
      </c>
      <c r="J29" s="11">
        <v>82</v>
      </c>
      <c r="K29" s="11">
        <v>80</v>
      </c>
      <c r="L29" s="11">
        <v>80</v>
      </c>
      <c r="M29" s="11"/>
      <c r="N29" s="11"/>
      <c r="O29" s="11"/>
      <c r="P29" s="11" t="s">
        <v>119</v>
      </c>
      <c r="Q29" s="11">
        <v>122</v>
      </c>
      <c r="R29" s="11">
        <v>78</v>
      </c>
      <c r="S29" s="11">
        <v>32</v>
      </c>
      <c r="T29" s="11">
        <v>21</v>
      </c>
      <c r="U29" s="11">
        <v>72</v>
      </c>
      <c r="V29" s="11">
        <v>96</v>
      </c>
      <c r="W29" s="11">
        <v>152</v>
      </c>
      <c r="X29" s="11">
        <v>80</v>
      </c>
      <c r="Y29" s="11">
        <v>18</v>
      </c>
      <c r="Z29" s="11">
        <v>151</v>
      </c>
      <c r="AA29" s="11">
        <v>102</v>
      </c>
      <c r="AB29" s="11">
        <v>14</v>
      </c>
      <c r="AC29" s="38">
        <v>7</v>
      </c>
      <c r="AD29" s="11">
        <v>6</v>
      </c>
      <c r="AE29" s="11">
        <v>5</v>
      </c>
      <c r="AF29" s="38">
        <v>14.24</v>
      </c>
    </row>
    <row r="30" spans="1:32" s="19" customFormat="1" ht="12.75">
      <c r="A30" s="11">
        <v>22</v>
      </c>
      <c r="B30" s="11" t="s">
        <v>120</v>
      </c>
      <c r="C30" s="11">
        <v>9</v>
      </c>
      <c r="D30" s="11" t="s">
        <v>61</v>
      </c>
      <c r="E30" s="11" t="s">
        <v>68</v>
      </c>
      <c r="F30" s="13">
        <v>34410</v>
      </c>
      <c r="G30" s="11">
        <v>14</v>
      </c>
      <c r="H30" s="11">
        <v>165</v>
      </c>
      <c r="I30" s="11">
        <v>72</v>
      </c>
      <c r="J30" s="11">
        <v>86</v>
      </c>
      <c r="K30" s="11">
        <v>85</v>
      </c>
      <c r="L30" s="11">
        <v>84</v>
      </c>
      <c r="M30" s="11"/>
      <c r="N30" s="11"/>
      <c r="O30" s="11"/>
      <c r="P30" s="11" t="s">
        <v>120</v>
      </c>
      <c r="Q30" s="11">
        <v>120</v>
      </c>
      <c r="R30" s="11">
        <v>70</v>
      </c>
      <c r="S30" s="11">
        <v>29</v>
      </c>
      <c r="T30" s="11">
        <v>20</v>
      </c>
      <c r="U30" s="11">
        <v>76</v>
      </c>
      <c r="V30" s="11">
        <v>92</v>
      </c>
      <c r="W30" s="11">
        <v>148</v>
      </c>
      <c r="X30" s="11">
        <v>88</v>
      </c>
      <c r="Y30" s="11">
        <v>3</v>
      </c>
      <c r="Z30" s="11">
        <v>159</v>
      </c>
      <c r="AA30" s="11">
        <v>98</v>
      </c>
      <c r="AB30" s="11">
        <v>4</v>
      </c>
      <c r="AC30" s="38">
        <v>40</v>
      </c>
      <c r="AD30" s="11">
        <v>2</v>
      </c>
      <c r="AE30" s="11">
        <v>4.7</v>
      </c>
      <c r="AF30" s="38">
        <v>10.31</v>
      </c>
    </row>
    <row r="31" s="2" customFormat="1" ht="14.25"/>
    <row r="32" spans="2:35" s="2" customFormat="1" ht="14.25">
      <c r="B32" s="114" t="s">
        <v>135</v>
      </c>
      <c r="C32" s="114"/>
      <c r="D32" s="114"/>
      <c r="P32" s="97"/>
      <c r="Q32" s="92" t="s">
        <v>170</v>
      </c>
      <c r="R32" s="92" t="s">
        <v>167</v>
      </c>
      <c r="S32" s="92" t="s">
        <v>168</v>
      </c>
      <c r="T32" s="92" t="s">
        <v>171</v>
      </c>
      <c r="Y32" s="4">
        <f>COUNTIF(Y8:Y19,"&gt;=11")</f>
        <v>6</v>
      </c>
      <c r="Z32" s="4">
        <f>_xlfn.COUNTIFS(Z8:Z19,"&gt;=200")</f>
        <v>10</v>
      </c>
      <c r="AA32" s="4">
        <f>_xlfn.COUNTIFS(AA8:AA19,"&gt;=130")</f>
        <v>6</v>
      </c>
      <c r="AB32" s="4">
        <f>_xlfn.COUNTIFS(AB8:AB19,"&gt;=22")</f>
        <v>11</v>
      </c>
      <c r="AC32" s="4">
        <f>_xlfn.COUNTIFS(AC8:AC19,"&gt;=50")</f>
        <v>4</v>
      </c>
      <c r="AD32" s="4">
        <f>_xlfn.COUNTIFS(AD8:AD19,"&gt;=10")</f>
        <v>6</v>
      </c>
      <c r="AE32" s="4">
        <f>_xlfn.COUNTIFS(AE8:AE19,"&lt;=4,5")</f>
        <v>9</v>
      </c>
      <c r="AF32" s="4">
        <f>_xlfn.COUNTIFS(AF8:AF19,"&lt;=9,2")</f>
        <v>2</v>
      </c>
      <c r="AG32" s="66" t="s">
        <v>152</v>
      </c>
      <c r="AH32" s="142" t="s">
        <v>147</v>
      </c>
      <c r="AI32" s="143"/>
    </row>
    <row r="33" spans="2:35" s="2" customFormat="1" ht="14.25">
      <c r="B33" s="44"/>
      <c r="C33" s="44"/>
      <c r="D33" s="45"/>
      <c r="P33" s="98"/>
      <c r="Q33" s="99"/>
      <c r="R33" s="99"/>
      <c r="S33" s="99"/>
      <c r="T33" s="100"/>
      <c r="Y33" s="4">
        <f>_xlfn.COUNTIFS(Y8:Y19,"&lt;11",Y8:Y19,"&gt;=9")</f>
        <v>1</v>
      </c>
      <c r="Z33" s="4">
        <f>_xlfn.COUNTIFS(Z8:Z19,"&lt;200",Z8:Z19,"&gt;195")</f>
        <v>0</v>
      </c>
      <c r="AA33" s="4">
        <f>_xlfn.COUNTIFS(AA8:AA19,"&lt;130",AA8:AA19,"&gt;=120")</f>
        <v>3</v>
      </c>
      <c r="AB33" s="4">
        <f>_xlfn.COUNTIFS(AB8:AB19,"&lt;22",AB8:AB19,"&gt;=17")</f>
        <v>0</v>
      </c>
      <c r="AC33" s="4">
        <f>_xlfn.COUNTIFS(AC8:AC19,"&lt;50",AC8:AC19,"&gt;=43")</f>
        <v>7</v>
      </c>
      <c r="AD33" s="4">
        <f>_xlfn.COUNTIFS(AD8:AD19,"&lt;10",AD8:AD19,"&gt;=8")</f>
        <v>0</v>
      </c>
      <c r="AE33" s="4">
        <f>_xlfn.COUNTIFS(AE8:AE19,"&gt;4,5",AE8:AE19,"&lt;=5")</f>
        <v>2</v>
      </c>
      <c r="AF33" s="4">
        <f>_xlfn.COUNTIFS(AF8:AF19,"&gt;9,2",AF8:AF19,"&lt;=10")</f>
        <v>3</v>
      </c>
      <c r="AG33" s="66" t="s">
        <v>153</v>
      </c>
      <c r="AH33" s="144"/>
      <c r="AI33" s="145"/>
    </row>
    <row r="34" spans="2:35" s="2" customFormat="1" ht="14.25">
      <c r="B34" s="46" t="s">
        <v>136</v>
      </c>
      <c r="C34" s="47">
        <v>22</v>
      </c>
      <c r="D34" s="48" t="s">
        <v>137</v>
      </c>
      <c r="P34" s="12" t="s">
        <v>99</v>
      </c>
      <c r="Q34" s="93">
        <v>19.82</v>
      </c>
      <c r="R34" s="93">
        <f>(I8/H8)*(AC8/60)</f>
        <v>0.2758620689655173</v>
      </c>
      <c r="S34" s="93">
        <f>U8*Q8/100</f>
        <v>105.6</v>
      </c>
      <c r="T34" s="93">
        <v>116.1</v>
      </c>
      <c r="Y34" s="4">
        <f>_xlfn.COUNTIFS(Y8:Y19,"&lt;9",Y8:Y19,"&gt;=6")</f>
        <v>0</v>
      </c>
      <c r="Z34" s="4">
        <f>_xlfn.COUNTIFS(Z8:Z19,"&lt;195",Z8:Z19,"&gt;190")</f>
        <v>0</v>
      </c>
      <c r="AA34" s="4">
        <f>_xlfn.COUNTIFS(AA8:AA19,"&lt;120",AA8:AA19,"&gt;=110")</f>
        <v>0</v>
      </c>
      <c r="AB34" s="4">
        <f>_xlfn.COUNTIFS(AB8:AB19,"&lt;17",AB8:AB19,"&gt;=7")</f>
        <v>0</v>
      </c>
      <c r="AC34" s="4">
        <f>_xlfn.COUNTIFS(AC8:AC19,"&lt;43",AC8:AC19,"&gt;=35")</f>
        <v>0</v>
      </c>
      <c r="AD34" s="4">
        <f>_xlfn.COUNTIFS(AD8:AD19,"&lt;8",AD8:AD19,"&gt;=7")</f>
        <v>2</v>
      </c>
      <c r="AE34" s="4">
        <f>_xlfn.COUNTIFS(AE8:AE19,"&gt;5",AE8:AE19,"&lt;=5,5")</f>
        <v>0</v>
      </c>
      <c r="AF34" s="4">
        <f>_xlfn.COUNTIFS(AF8:AF19,"&gt;10",AF8:AF19,"&lt;=11")</f>
        <v>2</v>
      </c>
      <c r="AG34" s="66" t="s">
        <v>154</v>
      </c>
      <c r="AH34" s="144"/>
      <c r="AI34" s="145"/>
    </row>
    <row r="35" spans="2:35" s="2" customFormat="1" ht="14.25">
      <c r="B35" s="49" t="s">
        <v>138</v>
      </c>
      <c r="C35" s="50">
        <v>0</v>
      </c>
      <c r="D35" s="51">
        <f>C35*100/C34</f>
        <v>0</v>
      </c>
      <c r="P35" s="11" t="s">
        <v>100</v>
      </c>
      <c r="Q35" s="4">
        <v>22.76</v>
      </c>
      <c r="R35" s="4">
        <f aca="true" t="shared" si="0" ref="R35:R45">(I9/H9)*(AC9/60)</f>
        <v>0.33333333333333337</v>
      </c>
      <c r="S35" s="4">
        <f aca="true" t="shared" si="1" ref="S35:S45">U9*Q9/100</f>
        <v>87.84</v>
      </c>
      <c r="T35" s="4">
        <v>94.5</v>
      </c>
      <c r="Y35" s="4">
        <f>_xlfn.COUNTIFS(Y8:Y19,"&lt;6")</f>
        <v>5</v>
      </c>
      <c r="Z35" s="4">
        <f>_xlfn.COUNTIFS(Z8:Z19,"&lt;190")</f>
        <v>2</v>
      </c>
      <c r="AA35" s="4">
        <f>_xlfn.COUNTIFS(AA8:AA19,"&lt;110")</f>
        <v>3</v>
      </c>
      <c r="AB35" s="4">
        <f>_xlfn.COUNTIFS(AB8:AB19,"&lt;7")</f>
        <v>1</v>
      </c>
      <c r="AC35" s="4">
        <f>_xlfn.COUNTIFS(AC8:AC19,"&lt;35")</f>
        <v>1</v>
      </c>
      <c r="AD35" s="4">
        <f>_xlfn.COUNTIFS(AD8:AD19,"&lt;7")</f>
        <v>4</v>
      </c>
      <c r="AE35" s="4">
        <f>_xlfn.COUNTIFS(AE8:AE19,"&gt;5,5")</f>
        <v>1</v>
      </c>
      <c r="AF35" s="4">
        <f>_xlfn.COUNTIFS(AF8:AF19,"&gt;11")</f>
        <v>5</v>
      </c>
      <c r="AG35" s="66" t="s">
        <v>155</v>
      </c>
      <c r="AH35" s="146"/>
      <c r="AI35" s="147"/>
    </row>
    <row r="36" spans="2:35" s="2" customFormat="1" ht="14.25">
      <c r="B36" s="52" t="s">
        <v>139</v>
      </c>
      <c r="C36" s="50">
        <v>5</v>
      </c>
      <c r="D36" s="115">
        <f>(C36+C37+C38)*100/C34</f>
        <v>86.36363636363636</v>
      </c>
      <c r="P36" s="11" t="s">
        <v>101</v>
      </c>
      <c r="Q36" s="4">
        <v>21.6</v>
      </c>
      <c r="R36" s="4">
        <f t="shared" si="0"/>
        <v>0.362962962962963</v>
      </c>
      <c r="S36" s="4">
        <f t="shared" si="1"/>
        <v>108.56</v>
      </c>
      <c r="T36" s="4">
        <v>104.7</v>
      </c>
      <c r="Y36" s="81"/>
      <c r="AH36" s="3"/>
      <c r="AI36" s="3"/>
    </row>
    <row r="37" spans="2:35" s="2" customFormat="1" ht="14.25">
      <c r="B37" s="53" t="s">
        <v>140</v>
      </c>
      <c r="C37" s="50">
        <v>7</v>
      </c>
      <c r="D37" s="116"/>
      <c r="P37" s="11" t="s">
        <v>102</v>
      </c>
      <c r="Q37" s="4">
        <v>19.02</v>
      </c>
      <c r="R37" s="4">
        <f t="shared" si="0"/>
        <v>0.2596153846153846</v>
      </c>
      <c r="S37" s="4">
        <f t="shared" si="1"/>
        <v>102.4</v>
      </c>
      <c r="T37" s="4">
        <v>120.35</v>
      </c>
      <c r="Y37" s="4">
        <f>COUNTIF(Y21:Y30,"&gt;=18")</f>
        <v>7</v>
      </c>
      <c r="Z37" s="4">
        <f>_xlfn.COUNTIFS(Z21:Z30,"&gt;=185")</f>
        <v>2</v>
      </c>
      <c r="AA37" s="4">
        <f>_xlfn.COUNTIFS(AA21:AA30,"&gt;=130")</f>
        <v>5</v>
      </c>
      <c r="AB37" s="4">
        <f>_xlfn.COUNTIFS(AB21:AB30,"&gt;=9")</f>
        <v>4</v>
      </c>
      <c r="AC37" s="4">
        <f>_xlfn.COUNTIFS(AC21:AC30,"&gt;=35")</f>
        <v>8</v>
      </c>
      <c r="AD37" s="4">
        <f>_xlfn.COUNTIFS(AD21:AD30,"&gt;=7")</f>
        <v>2</v>
      </c>
      <c r="AE37" s="4">
        <f>_xlfn.COUNTIFS(AE21:AE30,"&lt;=5,1")</f>
        <v>10</v>
      </c>
      <c r="AF37" s="4">
        <f>_xlfn.COUNTIFS(AF21:AF30,"&lt;=10,2")</f>
        <v>2</v>
      </c>
      <c r="AG37" s="66" t="s">
        <v>152</v>
      </c>
      <c r="AH37" s="142" t="s">
        <v>148</v>
      </c>
      <c r="AI37" s="143"/>
    </row>
    <row r="38" spans="2:35" s="2" customFormat="1" ht="14.25">
      <c r="B38" s="54" t="s">
        <v>141</v>
      </c>
      <c r="C38" s="50">
        <v>7</v>
      </c>
      <c r="D38" s="117"/>
      <c r="P38" s="11" t="s">
        <v>103</v>
      </c>
      <c r="Q38" s="4">
        <v>19.53</v>
      </c>
      <c r="R38" s="4">
        <f t="shared" si="0"/>
        <v>0.23958333333333334</v>
      </c>
      <c r="S38" s="4">
        <f t="shared" si="1"/>
        <v>119.6</v>
      </c>
      <c r="T38" s="4">
        <v>97.8</v>
      </c>
      <c r="Y38" s="4">
        <f>_xlfn.COUNTIFS(Y21:Y30,"&lt;18",Y21:Y30,"&gt;=14")</f>
        <v>2</v>
      </c>
      <c r="Z38" s="4">
        <f>_xlfn.COUNTIFS(Z21:Z30,"&lt;185",Z21:Z30,"&gt;=178")</f>
        <v>2</v>
      </c>
      <c r="AA38" s="4">
        <f>_xlfn.COUNTIFS(AA21:AA30,"&lt;130",AA21:AA30,"&gt;=90")</f>
        <v>5</v>
      </c>
      <c r="AB38" s="4">
        <f>_xlfn.COUNTIFS(AB21:AB30,"&lt;9",AB21:AB30,"&gt;=5")</f>
        <v>2</v>
      </c>
      <c r="AC38" s="4">
        <f>_xlfn.COUNTIFS(AC21:AC30,"&lt;35",AC21:AC30,"&gt;=30")</f>
        <v>1</v>
      </c>
      <c r="AD38" s="4">
        <f>_xlfn.COUNTIFS(AD21:AD30,"&lt;7",AD21:AD30,"&gt;=4")</f>
        <v>6</v>
      </c>
      <c r="AE38" s="4">
        <f>_xlfn.COUNTIFS(AE21:AE30,"&gt;5,1",AE21:AE30,"&lt;=5,5")</f>
        <v>0</v>
      </c>
      <c r="AF38" s="4">
        <f>_xlfn.COUNTIFS(AF21:AF30,"&gt;10,2",AF21:AF30,"&lt;=12")</f>
        <v>4</v>
      </c>
      <c r="AG38" s="66" t="s">
        <v>153</v>
      </c>
      <c r="AH38" s="144"/>
      <c r="AI38" s="145"/>
    </row>
    <row r="39" spans="2:35" s="2" customFormat="1" ht="14.25">
      <c r="B39" s="55" t="s">
        <v>142</v>
      </c>
      <c r="C39" s="50">
        <v>3</v>
      </c>
      <c r="D39" s="50">
        <f>C39*100/C34</f>
        <v>13.636363636363637</v>
      </c>
      <c r="P39" s="11" t="s">
        <v>104</v>
      </c>
      <c r="Q39" s="4">
        <v>21.72</v>
      </c>
      <c r="R39" s="4">
        <f t="shared" si="0"/>
        <v>0.2880539499036609</v>
      </c>
      <c r="S39" s="4">
        <f t="shared" si="1"/>
        <v>81.6</v>
      </c>
      <c r="T39" s="4">
        <v>96.5</v>
      </c>
      <c r="Y39" s="4">
        <f>_xlfn.COUNTIFS(Y21:Y30,"&lt;14",Y21:Y30,"&gt;=11")</f>
        <v>0</v>
      </c>
      <c r="Z39" s="4">
        <f>_xlfn.COUNTIFS(Z21:Z30,"&lt;178",Z21:Z30,"&gt;=170")</f>
        <v>0</v>
      </c>
      <c r="AA39" s="4">
        <f>_xlfn.COUNTIFS(AA21:AA30,"&lt;90",AA21:AA30,"&gt;=60")</f>
        <v>0</v>
      </c>
      <c r="AB39" s="4">
        <f>_xlfn.COUNTIFS(AB21:AB30,"&lt;5",AB21:AB30,"&gt;=3")</f>
        <v>3</v>
      </c>
      <c r="AC39" s="4">
        <f>_xlfn.COUNTIFS(AC21:AC30,"&lt;30",AC21:AC30,"&gt;=25")</f>
        <v>0</v>
      </c>
      <c r="AD39" s="4">
        <f>_xlfn.COUNTIFS(AD21:AD30,"&lt;4",AD21:AD30,"&gt;=2")</f>
        <v>1</v>
      </c>
      <c r="AE39" s="4">
        <f>_xlfn.COUNTIFS(AE21:AE30,"&gt;5,5",AE21:AE30,"&lt;=5,9")</f>
        <v>0</v>
      </c>
      <c r="AF39" s="4">
        <f>_xlfn.COUNTIFS(AF21:AF30,"&gt;12",AF21:AF30,"&lt;=13")</f>
        <v>1</v>
      </c>
      <c r="AG39" s="66" t="s">
        <v>154</v>
      </c>
      <c r="AH39" s="144"/>
      <c r="AI39" s="145"/>
    </row>
    <row r="40" spans="16:35" s="2" customFormat="1" ht="14.25">
      <c r="P40" s="11" t="s">
        <v>105</v>
      </c>
      <c r="Q40" s="4">
        <v>19.94</v>
      </c>
      <c r="R40" s="4">
        <f t="shared" si="0"/>
        <v>0.2915697674418605</v>
      </c>
      <c r="S40" s="4">
        <f t="shared" si="1"/>
        <v>81</v>
      </c>
      <c r="T40" s="4">
        <v>105.8</v>
      </c>
      <c r="Y40" s="4">
        <f>_xlfn.COUNTIFS(Y21:Y30,"&lt;11")</f>
        <v>1</v>
      </c>
      <c r="Z40" s="4">
        <f>_xlfn.COUNTIFS(Z21:Z30,"&lt;170")</f>
        <v>6</v>
      </c>
      <c r="AA40" s="4">
        <f>_xlfn.COUNTIFS(AA21:AA30,"&lt;60")</f>
        <v>0</v>
      </c>
      <c r="AB40" s="4">
        <f>_xlfn.COUNTIFS(AB21:AB30,"&lt;3")</f>
        <v>1</v>
      </c>
      <c r="AC40" s="4">
        <f>_xlfn.COUNTIFS(AC21:AC30,"&lt;25")</f>
        <v>1</v>
      </c>
      <c r="AD40" s="4">
        <f>_xlfn.COUNTIFS(AD21:AD30,"&lt;2")</f>
        <v>1</v>
      </c>
      <c r="AE40" s="4">
        <f>_xlfn.COUNTIFS(AE21:AE30,"&gt;5,9")</f>
        <v>0</v>
      </c>
      <c r="AF40" s="4">
        <f>_xlfn.COUNTIFS(AF21:AF30,"&gt;13")</f>
        <v>3</v>
      </c>
      <c r="AG40" s="66" t="s">
        <v>155</v>
      </c>
      <c r="AH40" s="146"/>
      <c r="AI40" s="147"/>
    </row>
    <row r="41" spans="16:20" s="2" customFormat="1" ht="14.25">
      <c r="P41" s="11" t="s">
        <v>106</v>
      </c>
      <c r="Q41" s="4">
        <v>19.24</v>
      </c>
      <c r="R41" s="4">
        <f t="shared" si="0"/>
        <v>0.2893617021276596</v>
      </c>
      <c r="S41" s="4">
        <f t="shared" si="1"/>
        <v>99.2</v>
      </c>
      <c r="T41" s="4">
        <v>123.3</v>
      </c>
    </row>
    <row r="42" spans="16:35" s="2" customFormat="1" ht="14.25">
      <c r="P42" s="11" t="s">
        <v>107</v>
      </c>
      <c r="Q42" s="4">
        <v>17.9</v>
      </c>
      <c r="R42" s="4">
        <f t="shared" si="0"/>
        <v>0.26851851851851855</v>
      </c>
      <c r="S42" s="4">
        <f t="shared" si="1"/>
        <v>76.8</v>
      </c>
      <c r="T42" s="4">
        <v>125.2</v>
      </c>
      <c r="Y42" s="85">
        <f>SUM(Y32,Y37)</f>
        <v>13</v>
      </c>
      <c r="Z42" s="85">
        <f>SUM(Z32,Z37)</f>
        <v>12</v>
      </c>
      <c r="AA42" s="85">
        <f aca="true" t="shared" si="2" ref="AA42:AF42">SUM(AA32,AA37)</f>
        <v>11</v>
      </c>
      <c r="AB42" s="85">
        <f t="shared" si="2"/>
        <v>15</v>
      </c>
      <c r="AC42" s="85">
        <f t="shared" si="2"/>
        <v>12</v>
      </c>
      <c r="AD42" s="85">
        <f t="shared" si="2"/>
        <v>8</v>
      </c>
      <c r="AE42" s="85">
        <f t="shared" si="2"/>
        <v>19</v>
      </c>
      <c r="AF42" s="85">
        <f t="shared" si="2"/>
        <v>4</v>
      </c>
      <c r="AG42" s="66" t="s">
        <v>152</v>
      </c>
      <c r="AH42" s="130" t="s">
        <v>157</v>
      </c>
      <c r="AI42" s="131"/>
    </row>
    <row r="43" spans="16:35" s="2" customFormat="1" ht="14.25">
      <c r="P43" s="11" t="s">
        <v>108</v>
      </c>
      <c r="Q43" s="4">
        <v>20.24</v>
      </c>
      <c r="R43" s="4">
        <f t="shared" si="0"/>
        <v>0.2657142857142857</v>
      </c>
      <c r="S43" s="4">
        <f t="shared" si="1"/>
        <v>84</v>
      </c>
      <c r="T43" s="4">
        <v>105.86</v>
      </c>
      <c r="Y43" s="84">
        <f>SUM(Y33,Y38)</f>
        <v>3</v>
      </c>
      <c r="Z43" s="84">
        <f aca="true" t="shared" si="3" ref="Z43:AF43">SUM(Z33,Z38)</f>
        <v>2</v>
      </c>
      <c r="AA43" s="84">
        <f t="shared" si="3"/>
        <v>8</v>
      </c>
      <c r="AB43" s="84">
        <f t="shared" si="3"/>
        <v>2</v>
      </c>
      <c r="AC43" s="84">
        <f t="shared" si="3"/>
        <v>8</v>
      </c>
      <c r="AD43" s="84">
        <f t="shared" si="3"/>
        <v>6</v>
      </c>
      <c r="AE43" s="84">
        <f t="shared" si="3"/>
        <v>2</v>
      </c>
      <c r="AF43" s="84">
        <f t="shared" si="3"/>
        <v>7</v>
      </c>
      <c r="AG43" s="66" t="s">
        <v>153</v>
      </c>
      <c r="AH43" s="132"/>
      <c r="AI43" s="133"/>
    </row>
    <row r="44" spans="16:35" s="2" customFormat="1" ht="14.25">
      <c r="P44" s="11" t="s">
        <v>109</v>
      </c>
      <c r="Q44" s="4">
        <v>19.05</v>
      </c>
      <c r="R44" s="4">
        <f t="shared" si="0"/>
        <v>0.2458333333333333</v>
      </c>
      <c r="S44" s="4">
        <f t="shared" si="1"/>
        <v>87.4</v>
      </c>
      <c r="T44" s="4">
        <v>113</v>
      </c>
      <c r="Y44" s="86">
        <f aca="true" t="shared" si="4" ref="Y44:AF45">SUM(Y34,Y39)</f>
        <v>0</v>
      </c>
      <c r="Z44" s="86">
        <f t="shared" si="4"/>
        <v>0</v>
      </c>
      <c r="AA44" s="86">
        <f t="shared" si="4"/>
        <v>0</v>
      </c>
      <c r="AB44" s="86">
        <f t="shared" si="4"/>
        <v>3</v>
      </c>
      <c r="AC44" s="86">
        <f t="shared" si="4"/>
        <v>0</v>
      </c>
      <c r="AD44" s="86">
        <f t="shared" si="4"/>
        <v>3</v>
      </c>
      <c r="AE44" s="86">
        <f t="shared" si="4"/>
        <v>0</v>
      </c>
      <c r="AF44" s="86">
        <f t="shared" si="4"/>
        <v>3</v>
      </c>
      <c r="AG44" s="66" t="s">
        <v>154</v>
      </c>
      <c r="AH44" s="132"/>
      <c r="AI44" s="133"/>
    </row>
    <row r="45" spans="16:35" s="2" customFormat="1" ht="14.25">
      <c r="P45" s="11" t="s">
        <v>110</v>
      </c>
      <c r="Q45" s="4">
        <v>31.04</v>
      </c>
      <c r="R45" s="4">
        <f t="shared" si="0"/>
        <v>0.009142857142857144</v>
      </c>
      <c r="S45" s="4">
        <f t="shared" si="1"/>
        <v>110.4</v>
      </c>
      <c r="T45" s="4">
        <v>61.94</v>
      </c>
      <c r="Y45" s="83">
        <f t="shared" si="4"/>
        <v>6</v>
      </c>
      <c r="Z45" s="83">
        <f t="shared" si="4"/>
        <v>8</v>
      </c>
      <c r="AA45" s="83">
        <f t="shared" si="4"/>
        <v>3</v>
      </c>
      <c r="AB45" s="83">
        <f t="shared" si="4"/>
        <v>2</v>
      </c>
      <c r="AC45" s="83">
        <f t="shared" si="4"/>
        <v>2</v>
      </c>
      <c r="AD45" s="83">
        <f t="shared" si="4"/>
        <v>5</v>
      </c>
      <c r="AE45" s="83">
        <f t="shared" si="4"/>
        <v>1</v>
      </c>
      <c r="AF45" s="83">
        <f t="shared" si="4"/>
        <v>8</v>
      </c>
      <c r="AG45" s="66" t="s">
        <v>155</v>
      </c>
      <c r="AH45" s="134"/>
      <c r="AI45" s="135"/>
    </row>
    <row r="46" spans="16:20" ht="12.75">
      <c r="P46" s="89"/>
      <c r="Q46" s="87"/>
      <c r="R46" s="87"/>
      <c r="S46" s="87"/>
      <c r="T46" s="87"/>
    </row>
    <row r="47" spans="16:35" ht="14.25">
      <c r="P47" s="11" t="s">
        <v>111</v>
      </c>
      <c r="Q47" s="87">
        <v>20.15</v>
      </c>
      <c r="R47" s="4">
        <f aca="true" t="shared" si="5" ref="R47:R56">(I21/H21)*(AC21/60)</f>
        <v>0.23371647509578544</v>
      </c>
      <c r="S47" s="4">
        <f aca="true" t="shared" si="6" ref="S47:S56">U21*Q21/100</f>
        <v>81.6</v>
      </c>
      <c r="T47" s="87">
        <v>120.15</v>
      </c>
      <c r="Y47" s="82">
        <f>Y42*100/22</f>
        <v>59.09090909090909</v>
      </c>
      <c r="Z47" s="82">
        <f aca="true" t="shared" si="7" ref="Z47:AF47">Z42*100/22</f>
        <v>54.54545454545455</v>
      </c>
      <c r="AA47" s="82">
        <f t="shared" si="7"/>
        <v>50</v>
      </c>
      <c r="AB47" s="82">
        <f t="shared" si="7"/>
        <v>68.18181818181819</v>
      </c>
      <c r="AC47" s="82">
        <f t="shared" si="7"/>
        <v>54.54545454545455</v>
      </c>
      <c r="AD47" s="82">
        <f t="shared" si="7"/>
        <v>36.36363636363637</v>
      </c>
      <c r="AE47" s="82">
        <f t="shared" si="7"/>
        <v>86.36363636363636</v>
      </c>
      <c r="AF47" s="82">
        <f t="shared" si="7"/>
        <v>18.181818181818183</v>
      </c>
      <c r="AG47" s="66" t="s">
        <v>152</v>
      </c>
      <c r="AH47" s="136" t="s">
        <v>162</v>
      </c>
      <c r="AI47" s="137"/>
    </row>
    <row r="48" spans="16:35" ht="14.25">
      <c r="P48" s="11" t="s">
        <v>112</v>
      </c>
      <c r="Q48" s="87">
        <v>20.13</v>
      </c>
      <c r="R48" s="4">
        <f t="shared" si="5"/>
        <v>0.20940170940170938</v>
      </c>
      <c r="S48" s="4">
        <f t="shared" si="6"/>
        <v>97.6</v>
      </c>
      <c r="T48" s="87">
        <v>116.75</v>
      </c>
      <c r="Y48" s="82">
        <f>Y43*100/22</f>
        <v>13.636363636363637</v>
      </c>
      <c r="Z48" s="82">
        <f aca="true" t="shared" si="8" ref="Z48:AF48">Z43*100/22</f>
        <v>9.090909090909092</v>
      </c>
      <c r="AA48" s="82">
        <f t="shared" si="8"/>
        <v>36.36363636363637</v>
      </c>
      <c r="AB48" s="82">
        <f t="shared" si="8"/>
        <v>9.090909090909092</v>
      </c>
      <c r="AC48" s="82">
        <f t="shared" si="8"/>
        <v>36.36363636363637</v>
      </c>
      <c r="AD48" s="82">
        <f t="shared" si="8"/>
        <v>27.272727272727273</v>
      </c>
      <c r="AE48" s="82">
        <f t="shared" si="8"/>
        <v>9.090909090909092</v>
      </c>
      <c r="AF48" s="82">
        <f t="shared" si="8"/>
        <v>31.818181818181817</v>
      </c>
      <c r="AG48" s="66" t="s">
        <v>153</v>
      </c>
      <c r="AH48" s="138"/>
      <c r="AI48" s="139"/>
    </row>
    <row r="49" spans="16:35" ht="14.25">
      <c r="P49" s="11" t="s">
        <v>113</v>
      </c>
      <c r="Q49" s="87">
        <v>22.03</v>
      </c>
      <c r="R49" s="4">
        <f t="shared" si="5"/>
        <v>0.2842827004219409</v>
      </c>
      <c r="S49" s="4">
        <f t="shared" si="6"/>
        <v>102.4</v>
      </c>
      <c r="T49" s="87">
        <v>104.47</v>
      </c>
      <c r="Y49" s="82">
        <f>Y44*100/22</f>
        <v>0</v>
      </c>
      <c r="Z49" s="82">
        <f aca="true" t="shared" si="9" ref="Z49:AF49">Z44*100/22</f>
        <v>0</v>
      </c>
      <c r="AA49" s="82">
        <f t="shared" si="9"/>
        <v>0</v>
      </c>
      <c r="AB49" s="82">
        <f t="shared" si="9"/>
        <v>13.636363636363637</v>
      </c>
      <c r="AC49" s="82">
        <f t="shared" si="9"/>
        <v>0</v>
      </c>
      <c r="AD49" s="82">
        <f t="shared" si="9"/>
        <v>13.636363636363637</v>
      </c>
      <c r="AE49" s="82">
        <f t="shared" si="9"/>
        <v>0</v>
      </c>
      <c r="AF49" s="82">
        <f t="shared" si="9"/>
        <v>13.636363636363637</v>
      </c>
      <c r="AG49" s="66" t="s">
        <v>154</v>
      </c>
      <c r="AH49" s="138"/>
      <c r="AI49" s="139"/>
    </row>
    <row r="50" spans="16:35" ht="14.25">
      <c r="P50" s="11" t="s">
        <v>114</v>
      </c>
      <c r="Q50" s="87">
        <v>23.73</v>
      </c>
      <c r="R50" s="4">
        <f t="shared" si="5"/>
        <v>0.25157232704402516</v>
      </c>
      <c r="S50" s="4">
        <f t="shared" si="6"/>
        <v>98.04</v>
      </c>
      <c r="T50" s="87">
        <v>95.8</v>
      </c>
      <c r="Y50" s="82">
        <f>Y45*100/22</f>
        <v>27.272727272727273</v>
      </c>
      <c r="Z50" s="82">
        <f aca="true" t="shared" si="10" ref="Z50:AF50">Z45*100/22</f>
        <v>36.36363636363637</v>
      </c>
      <c r="AA50" s="82">
        <f t="shared" si="10"/>
        <v>13.636363636363637</v>
      </c>
      <c r="AB50" s="82">
        <f t="shared" si="10"/>
        <v>9.090909090909092</v>
      </c>
      <c r="AC50" s="82">
        <f t="shared" si="10"/>
        <v>9.090909090909092</v>
      </c>
      <c r="AD50" s="82">
        <f t="shared" si="10"/>
        <v>22.727272727272727</v>
      </c>
      <c r="AE50" s="82">
        <f t="shared" si="10"/>
        <v>4.545454545454546</v>
      </c>
      <c r="AF50" s="82">
        <f t="shared" si="10"/>
        <v>36.36363636363637</v>
      </c>
      <c r="AG50" s="66" t="s">
        <v>155</v>
      </c>
      <c r="AH50" s="140"/>
      <c r="AI50" s="141"/>
    </row>
    <row r="51" spans="16:20" ht="14.25">
      <c r="P51" s="11" t="s">
        <v>115</v>
      </c>
      <c r="Q51" s="87">
        <v>22.59</v>
      </c>
      <c r="R51" s="4">
        <f t="shared" si="5"/>
        <v>0.25149700598802394</v>
      </c>
      <c r="S51" s="4">
        <f t="shared" si="6"/>
        <v>96</v>
      </c>
      <c r="T51" s="87">
        <v>98.06</v>
      </c>
    </row>
    <row r="52" spans="16:35" ht="14.25">
      <c r="P52" s="11" t="s">
        <v>116</v>
      </c>
      <c r="Q52" s="87">
        <v>20.66</v>
      </c>
      <c r="R52" s="4">
        <f t="shared" si="5"/>
        <v>0.20364891518737674</v>
      </c>
      <c r="S52" s="4">
        <f t="shared" si="6"/>
        <v>81.6</v>
      </c>
      <c r="T52" s="87">
        <v>116.52</v>
      </c>
      <c r="Y52" s="82">
        <f>SUM(Y47:AF47)</f>
        <v>427.2727272727273</v>
      </c>
      <c r="Z52" s="2"/>
      <c r="AA52" s="129" t="s">
        <v>137</v>
      </c>
      <c r="AB52" s="129"/>
      <c r="AC52" s="129"/>
      <c r="AD52" s="129"/>
      <c r="AE52" s="2"/>
      <c r="AF52" s="82">
        <f>Y52*100/800</f>
        <v>53.40909090909091</v>
      </c>
      <c r="AG52" s="66" t="s">
        <v>152</v>
      </c>
      <c r="AH52" s="148" t="s">
        <v>166</v>
      </c>
      <c r="AI52" s="148"/>
    </row>
    <row r="53" spans="16:35" ht="14.25">
      <c r="P53" s="11" t="s">
        <v>117</v>
      </c>
      <c r="Q53" s="87">
        <v>21.71</v>
      </c>
      <c r="R53" s="4">
        <f t="shared" si="5"/>
        <v>0.25069033530571994</v>
      </c>
      <c r="S53" s="4">
        <f t="shared" si="6"/>
        <v>114.4</v>
      </c>
      <c r="T53" s="87">
        <v>113.53</v>
      </c>
      <c r="Y53" s="82">
        <f>SUM(Y48:AF48)</f>
        <v>172.72727272727275</v>
      </c>
      <c r="Z53" s="2"/>
      <c r="AA53" s="129"/>
      <c r="AB53" s="129"/>
      <c r="AC53" s="129"/>
      <c r="AD53" s="129"/>
      <c r="AE53" s="2"/>
      <c r="AF53" s="82">
        <f>Y53*100/800</f>
        <v>21.590909090909093</v>
      </c>
      <c r="AG53" s="66" t="s">
        <v>153</v>
      </c>
      <c r="AH53" s="148"/>
      <c r="AI53" s="148"/>
    </row>
    <row r="54" spans="16:35" ht="14.25">
      <c r="P54" s="11" t="s">
        <v>118</v>
      </c>
      <c r="Q54" s="87">
        <v>18.49</v>
      </c>
      <c r="R54" s="4">
        <f t="shared" si="5"/>
        <v>0.14423076923076922</v>
      </c>
      <c r="S54" s="4">
        <f t="shared" si="6"/>
        <v>100.8</v>
      </c>
      <c r="T54" s="87">
        <v>130.1</v>
      </c>
      <c r="Y54" s="82">
        <f>SUM(Y49:AF49)</f>
        <v>40.90909090909091</v>
      </c>
      <c r="Z54" s="2"/>
      <c r="AA54" s="129"/>
      <c r="AB54" s="129"/>
      <c r="AC54" s="129"/>
      <c r="AD54" s="129"/>
      <c r="AE54" s="2"/>
      <c r="AF54" s="82">
        <f>Y54*100/800</f>
        <v>5.113636363636363</v>
      </c>
      <c r="AG54" s="66" t="s">
        <v>154</v>
      </c>
      <c r="AH54" s="148"/>
      <c r="AI54" s="148"/>
    </row>
    <row r="55" spans="16:35" ht="14.25">
      <c r="P55" s="11" t="s">
        <v>119</v>
      </c>
      <c r="Q55" s="87">
        <v>25.63</v>
      </c>
      <c r="R55" s="4">
        <f t="shared" si="5"/>
        <v>0.0457516339869281</v>
      </c>
      <c r="S55" s="4">
        <f t="shared" si="6"/>
        <v>87.84</v>
      </c>
      <c r="T55" s="87">
        <v>83.35</v>
      </c>
      <c r="Y55" s="82">
        <f>SUM(Y50:AF50)</f>
        <v>159.0909090909091</v>
      </c>
      <c r="Z55" s="2"/>
      <c r="AA55" s="129"/>
      <c r="AB55" s="129"/>
      <c r="AC55" s="129"/>
      <c r="AD55" s="129"/>
      <c r="AE55" s="2"/>
      <c r="AF55" s="82">
        <f>Y55*100/800</f>
        <v>19.886363636363637</v>
      </c>
      <c r="AG55" s="66" t="s">
        <v>155</v>
      </c>
      <c r="AH55" s="148"/>
      <c r="AI55" s="148"/>
    </row>
    <row r="56" spans="16:35" ht="14.25">
      <c r="P56" s="11" t="s">
        <v>120</v>
      </c>
      <c r="Q56" s="87">
        <v>26.45</v>
      </c>
      <c r="R56" s="4">
        <f t="shared" si="5"/>
        <v>0.2909090909090909</v>
      </c>
      <c r="S56" s="4">
        <f t="shared" si="6"/>
        <v>91.2</v>
      </c>
      <c r="T56" s="87">
        <v>82.74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</sheetData>
  <sheetProtection/>
  <mergeCells count="34">
    <mergeCell ref="AH12:AH14"/>
    <mergeCell ref="AH47:AI50"/>
    <mergeCell ref="AH52:AI55"/>
    <mergeCell ref="AH42:AI45"/>
    <mergeCell ref="F6:F7"/>
    <mergeCell ref="G5:G7"/>
    <mergeCell ref="H6:H7"/>
    <mergeCell ref="AH32:AI35"/>
    <mergeCell ref="AH37:AI40"/>
    <mergeCell ref="AA52:AD55"/>
    <mergeCell ref="S6:T6"/>
    <mergeCell ref="Q6:R6"/>
    <mergeCell ref="AH6:AQ6"/>
    <mergeCell ref="AH8:AH10"/>
    <mergeCell ref="Y6:Y7"/>
    <mergeCell ref="U6:X6"/>
    <mergeCell ref="Q5:X5"/>
    <mergeCell ref="A6:A7"/>
    <mergeCell ref="A5:F5"/>
    <mergeCell ref="H5:O5"/>
    <mergeCell ref="B6:B7"/>
    <mergeCell ref="C6:C7"/>
    <mergeCell ref="D6:D7"/>
    <mergeCell ref="E6:E7"/>
    <mergeCell ref="D36:D38"/>
    <mergeCell ref="AE6:AF6"/>
    <mergeCell ref="AB6:AD6"/>
    <mergeCell ref="P5:P7"/>
    <mergeCell ref="I6:I7"/>
    <mergeCell ref="J6:L6"/>
    <mergeCell ref="M6:N6"/>
    <mergeCell ref="B32:D32"/>
    <mergeCell ref="Y5:AF5"/>
    <mergeCell ref="Z6:AA6"/>
  </mergeCells>
  <printOptions gridLines="1"/>
  <pageMargins left="0.75" right="0.75" top="1" bottom="1" header="0.5" footer="0.5"/>
  <pageSetup horizontalDpi="600" verticalDpi="600" orientation="portrait" paperSize="9" r:id="rId2"/>
  <ignoredErrors>
    <ignoredError sqref="AC35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3"/>
  <sheetViews>
    <sheetView zoomScale="80" zoomScaleNormal="80" zoomScalePageLayoutView="0" workbookViewId="0" topLeftCell="A4">
      <selection activeCell="P20" sqref="P20"/>
    </sheetView>
  </sheetViews>
  <sheetFormatPr defaultColWidth="8.421875" defaultRowHeight="12.75"/>
  <cols>
    <col min="1" max="1" width="6.57421875" style="0" customWidth="1"/>
    <col min="2" max="2" width="27.140625" style="0" customWidth="1"/>
    <col min="3" max="5" width="8.421875" style="0" bestFit="1" customWidth="1"/>
    <col min="6" max="6" width="12.57421875" style="0" customWidth="1"/>
    <col min="7" max="9" width="8.421875" style="0" bestFit="1" customWidth="1"/>
    <col min="10" max="10" width="9.7109375" style="0" customWidth="1"/>
    <col min="11" max="11" width="8.421875" style="0" bestFit="1" customWidth="1"/>
    <col min="12" max="12" width="10.8515625" style="0" customWidth="1"/>
    <col min="13" max="15" width="8.421875" style="0" bestFit="1" customWidth="1"/>
    <col min="16" max="16" width="26.7109375" style="0" customWidth="1"/>
    <col min="17" max="17" width="10.140625" style="0" customWidth="1"/>
    <col min="18" max="18" width="10.00390625" style="0" customWidth="1"/>
    <col min="19" max="19" width="10.57421875" style="0" customWidth="1"/>
    <col min="20" max="24" width="8.421875" style="0" bestFit="1" customWidth="1"/>
    <col min="25" max="25" width="9.28125" style="0" customWidth="1"/>
    <col min="26" max="27" width="8.421875" style="0" bestFit="1" customWidth="1"/>
    <col min="28" max="28" width="10.00390625" style="0" customWidth="1"/>
    <col min="29" max="29" width="9.28125" style="0" customWidth="1"/>
    <col min="30" max="30" width="10.140625" style="0" customWidth="1"/>
    <col min="31" max="31" width="8.421875" style="0" bestFit="1" customWidth="1"/>
    <col min="32" max="32" width="11.57421875" style="0" customWidth="1"/>
    <col min="33" max="33" width="9.28125" style="0" customWidth="1"/>
    <col min="34" max="34" width="9.8515625" style="0" customWidth="1"/>
    <col min="35" max="35" width="8.421875" style="0" customWidth="1"/>
    <col min="36" max="36" width="10.00390625" style="0" customWidth="1"/>
    <col min="37" max="37" width="8.421875" style="0" customWidth="1"/>
    <col min="38" max="38" width="9.7109375" style="0" customWidth="1"/>
    <col min="39" max="39" width="9.28125" style="0" customWidth="1"/>
    <col min="40" max="40" width="10.421875" style="0" customWidth="1"/>
    <col min="41" max="41" width="10.8515625" style="0" customWidth="1"/>
    <col min="42" max="42" width="9.28125" style="0" customWidth="1"/>
    <col min="43" max="43" width="12.57421875" style="0" customWidth="1"/>
  </cols>
  <sheetData>
    <row r="1" spans="1:16" s="2" customFormat="1" ht="14.2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</row>
    <row r="2" spans="1:16" s="2" customFormat="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</row>
    <row r="3" spans="1:16" s="2" customFormat="1" ht="14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</row>
    <row r="4" spans="1:9" s="2" customFormat="1" ht="14.25">
      <c r="A4" s="1"/>
      <c r="B4" s="1"/>
      <c r="C4" s="1"/>
      <c r="D4" s="1"/>
      <c r="E4" s="1"/>
      <c r="F4" s="1"/>
      <c r="G4" s="1"/>
      <c r="H4" s="1"/>
      <c r="I4" s="1"/>
    </row>
    <row r="5" spans="1:32" s="19" customFormat="1" ht="12.75">
      <c r="A5" s="118" t="s">
        <v>22</v>
      </c>
      <c r="B5" s="119"/>
      <c r="C5" s="119"/>
      <c r="D5" s="119"/>
      <c r="E5" s="119"/>
      <c r="F5" s="120"/>
      <c r="G5" s="121" t="s">
        <v>23</v>
      </c>
      <c r="H5" s="118" t="s">
        <v>24</v>
      </c>
      <c r="I5" s="119"/>
      <c r="J5" s="119"/>
      <c r="K5" s="119"/>
      <c r="L5" s="119"/>
      <c r="M5" s="119"/>
      <c r="N5" s="119"/>
      <c r="O5" s="120"/>
      <c r="P5" s="121" t="s">
        <v>25</v>
      </c>
      <c r="Q5" s="118" t="s">
        <v>26</v>
      </c>
      <c r="R5" s="119"/>
      <c r="S5" s="119"/>
      <c r="T5" s="119"/>
      <c r="U5" s="119"/>
      <c r="V5" s="119"/>
      <c r="W5" s="119"/>
      <c r="X5" s="120"/>
      <c r="Y5" s="118" t="s">
        <v>27</v>
      </c>
      <c r="Z5" s="119"/>
      <c r="AA5" s="119"/>
      <c r="AB5" s="119"/>
      <c r="AC5" s="119"/>
      <c r="AD5" s="119"/>
      <c r="AE5" s="119"/>
      <c r="AF5" s="120"/>
    </row>
    <row r="6" spans="1:43" s="19" customFormat="1" ht="54.75" customHeight="1">
      <c r="A6" s="121" t="s">
        <v>28</v>
      </c>
      <c r="B6" s="121" t="s">
        <v>25</v>
      </c>
      <c r="C6" s="121" t="s">
        <v>12</v>
      </c>
      <c r="D6" s="121" t="s">
        <v>29</v>
      </c>
      <c r="E6" s="121" t="s">
        <v>30</v>
      </c>
      <c r="F6" s="124" t="s">
        <v>31</v>
      </c>
      <c r="G6" s="123"/>
      <c r="H6" s="121" t="s">
        <v>32</v>
      </c>
      <c r="I6" s="124" t="s">
        <v>33</v>
      </c>
      <c r="J6" s="126" t="s">
        <v>34</v>
      </c>
      <c r="K6" s="127"/>
      <c r="L6" s="128"/>
      <c r="M6" s="118" t="s">
        <v>35</v>
      </c>
      <c r="N6" s="120"/>
      <c r="O6" s="11" t="s">
        <v>36</v>
      </c>
      <c r="P6" s="123"/>
      <c r="Q6" s="126" t="s">
        <v>37</v>
      </c>
      <c r="R6" s="128"/>
      <c r="S6" s="126" t="s">
        <v>38</v>
      </c>
      <c r="T6" s="128"/>
      <c r="U6" s="126" t="s">
        <v>39</v>
      </c>
      <c r="V6" s="127"/>
      <c r="W6" s="127"/>
      <c r="X6" s="128"/>
      <c r="Y6" s="124" t="s">
        <v>40</v>
      </c>
      <c r="Z6" s="126" t="s">
        <v>41</v>
      </c>
      <c r="AA6" s="128"/>
      <c r="AB6" s="126" t="s">
        <v>42</v>
      </c>
      <c r="AC6" s="127"/>
      <c r="AD6" s="128"/>
      <c r="AE6" s="126" t="s">
        <v>43</v>
      </c>
      <c r="AF6" s="128"/>
      <c r="AG6" s="24"/>
      <c r="AH6" s="126" t="s">
        <v>151</v>
      </c>
      <c r="AI6" s="127"/>
      <c r="AJ6" s="127"/>
      <c r="AK6" s="127"/>
      <c r="AL6" s="127"/>
      <c r="AM6" s="127"/>
      <c r="AN6" s="127"/>
      <c r="AO6" s="127"/>
      <c r="AP6" s="127"/>
      <c r="AQ6" s="128"/>
    </row>
    <row r="7" spans="1:43" s="19" customFormat="1" ht="74.25" customHeight="1">
      <c r="A7" s="122"/>
      <c r="B7" s="122"/>
      <c r="C7" s="122"/>
      <c r="D7" s="122"/>
      <c r="E7" s="122"/>
      <c r="F7" s="125"/>
      <c r="G7" s="122"/>
      <c r="H7" s="122"/>
      <c r="I7" s="125"/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/>
      <c r="P7" s="122"/>
      <c r="Q7" s="23" t="s">
        <v>49</v>
      </c>
      <c r="R7" s="23" t="s">
        <v>50</v>
      </c>
      <c r="S7" s="23" t="s">
        <v>44</v>
      </c>
      <c r="T7" s="23" t="s">
        <v>46</v>
      </c>
      <c r="U7" s="23" t="s">
        <v>51</v>
      </c>
      <c r="V7" s="23" t="s">
        <v>52</v>
      </c>
      <c r="W7" s="23" t="s">
        <v>53</v>
      </c>
      <c r="X7" s="23" t="s">
        <v>121</v>
      </c>
      <c r="Y7" s="125"/>
      <c r="Z7" s="23" t="s">
        <v>55</v>
      </c>
      <c r="AA7" s="23" t="s">
        <v>56</v>
      </c>
      <c r="AB7" s="23" t="s">
        <v>57</v>
      </c>
      <c r="AC7" s="23" t="s">
        <v>132</v>
      </c>
      <c r="AD7" s="23" t="s">
        <v>58</v>
      </c>
      <c r="AE7" s="23" t="s">
        <v>59</v>
      </c>
      <c r="AF7" s="23" t="s">
        <v>134</v>
      </c>
      <c r="AG7" s="24"/>
      <c r="AH7" s="23" t="s">
        <v>150</v>
      </c>
      <c r="AI7" s="23" t="s">
        <v>149</v>
      </c>
      <c r="AJ7" s="76" t="s">
        <v>40</v>
      </c>
      <c r="AK7" s="23" t="s">
        <v>55</v>
      </c>
      <c r="AL7" s="23" t="s">
        <v>56</v>
      </c>
      <c r="AM7" s="23" t="s">
        <v>57</v>
      </c>
      <c r="AN7" s="23" t="s">
        <v>132</v>
      </c>
      <c r="AO7" s="23" t="s">
        <v>58</v>
      </c>
      <c r="AP7" s="23" t="s">
        <v>59</v>
      </c>
      <c r="AQ7" s="23" t="s">
        <v>134</v>
      </c>
    </row>
    <row r="8" spans="1:43" s="19" customFormat="1" ht="12.75">
      <c r="A8" s="11">
        <v>1</v>
      </c>
      <c r="B8" s="11" t="s">
        <v>122</v>
      </c>
      <c r="C8" s="11">
        <v>9</v>
      </c>
      <c r="D8" s="11" t="s">
        <v>78</v>
      </c>
      <c r="E8" s="11" t="s">
        <v>62</v>
      </c>
      <c r="F8" s="13">
        <v>34037</v>
      </c>
      <c r="G8" s="11">
        <v>15</v>
      </c>
      <c r="H8" s="11">
        <v>177</v>
      </c>
      <c r="I8" s="11">
        <v>73</v>
      </c>
      <c r="J8" s="11">
        <v>93</v>
      </c>
      <c r="K8" s="11">
        <v>86</v>
      </c>
      <c r="L8" s="11">
        <v>83</v>
      </c>
      <c r="M8" s="11"/>
      <c r="N8" s="11"/>
      <c r="O8" s="11"/>
      <c r="P8" s="11" t="s">
        <v>122</v>
      </c>
      <c r="Q8" s="11">
        <v>125</v>
      </c>
      <c r="R8" s="11">
        <v>67</v>
      </c>
      <c r="S8" s="11">
        <v>76</v>
      </c>
      <c r="T8" s="11">
        <v>56</v>
      </c>
      <c r="U8" s="11">
        <v>92</v>
      </c>
      <c r="V8" s="11">
        <v>68</v>
      </c>
      <c r="W8" s="11">
        <v>124</v>
      </c>
      <c r="X8" s="11">
        <v>88</v>
      </c>
      <c r="Y8" s="11">
        <v>11</v>
      </c>
      <c r="Z8" s="11">
        <v>237</v>
      </c>
      <c r="AA8" s="11">
        <v>134</v>
      </c>
      <c r="AB8" s="11">
        <v>35</v>
      </c>
      <c r="AC8" s="38">
        <v>55</v>
      </c>
      <c r="AD8" s="11">
        <v>12</v>
      </c>
      <c r="AE8" s="11">
        <v>3.9</v>
      </c>
      <c r="AF8" s="38">
        <v>9.21</v>
      </c>
      <c r="AH8" s="121" t="s">
        <v>147</v>
      </c>
      <c r="AI8" s="66">
        <v>5</v>
      </c>
      <c r="AJ8" s="23">
        <v>11</v>
      </c>
      <c r="AK8" s="67">
        <v>200</v>
      </c>
      <c r="AL8" s="67">
        <v>130</v>
      </c>
      <c r="AM8" s="11">
        <v>22</v>
      </c>
      <c r="AN8" s="11">
        <v>50</v>
      </c>
      <c r="AO8" s="67">
        <v>10</v>
      </c>
      <c r="AP8" s="67">
        <v>4.5</v>
      </c>
      <c r="AQ8" s="67">
        <v>9.2</v>
      </c>
    </row>
    <row r="9" spans="1:43" s="19" customFormat="1" ht="12.75">
      <c r="A9" s="11">
        <v>2</v>
      </c>
      <c r="B9" s="11" t="s">
        <v>123</v>
      </c>
      <c r="C9" s="11">
        <v>9</v>
      </c>
      <c r="D9" s="11" t="s">
        <v>78</v>
      </c>
      <c r="E9" s="11" t="s">
        <v>62</v>
      </c>
      <c r="F9" s="13">
        <v>34130</v>
      </c>
      <c r="G9" s="11">
        <v>15</v>
      </c>
      <c r="H9" s="11">
        <v>175</v>
      </c>
      <c r="I9" s="11">
        <v>69</v>
      </c>
      <c r="J9" s="11">
        <v>89</v>
      </c>
      <c r="K9" s="11">
        <v>82</v>
      </c>
      <c r="L9" s="11">
        <v>80</v>
      </c>
      <c r="M9" s="11"/>
      <c r="N9" s="11"/>
      <c r="O9" s="11"/>
      <c r="P9" s="11" t="s">
        <v>123</v>
      </c>
      <c r="Q9" s="11">
        <v>112</v>
      </c>
      <c r="R9" s="11">
        <v>69</v>
      </c>
      <c r="S9" s="11">
        <v>90</v>
      </c>
      <c r="T9" s="11">
        <v>60</v>
      </c>
      <c r="U9" s="11">
        <v>104</v>
      </c>
      <c r="V9" s="11">
        <v>92</v>
      </c>
      <c r="W9" s="11">
        <v>144</v>
      </c>
      <c r="X9" s="11">
        <v>104</v>
      </c>
      <c r="Y9" s="11">
        <v>21</v>
      </c>
      <c r="Z9" s="11">
        <v>257</v>
      </c>
      <c r="AA9" s="11">
        <v>121</v>
      </c>
      <c r="AB9" s="11">
        <v>35</v>
      </c>
      <c r="AC9" s="38">
        <v>54</v>
      </c>
      <c r="AD9" s="11">
        <v>12</v>
      </c>
      <c r="AE9" s="11">
        <v>3.9</v>
      </c>
      <c r="AF9" s="38">
        <v>10.32</v>
      </c>
      <c r="AH9" s="123"/>
      <c r="AI9" s="66">
        <v>4</v>
      </c>
      <c r="AJ9" s="11">
        <v>9</v>
      </c>
      <c r="AK9" s="11">
        <v>195</v>
      </c>
      <c r="AL9" s="11">
        <v>120</v>
      </c>
      <c r="AM9" s="11">
        <v>17</v>
      </c>
      <c r="AN9" s="11">
        <v>43</v>
      </c>
      <c r="AO9" s="11">
        <v>8</v>
      </c>
      <c r="AP9" s="11">
        <v>5</v>
      </c>
      <c r="AQ9" s="11">
        <v>10</v>
      </c>
    </row>
    <row r="10" spans="1:43" s="19" customFormat="1" ht="12.75">
      <c r="A10" s="11">
        <v>3</v>
      </c>
      <c r="B10" s="11" t="s">
        <v>124</v>
      </c>
      <c r="C10" s="11">
        <v>9</v>
      </c>
      <c r="D10" s="11" t="s">
        <v>78</v>
      </c>
      <c r="E10" s="11" t="s">
        <v>62</v>
      </c>
      <c r="F10" s="13">
        <v>34375</v>
      </c>
      <c r="G10" s="11">
        <v>14</v>
      </c>
      <c r="H10" s="11">
        <v>186</v>
      </c>
      <c r="I10" s="11">
        <v>71</v>
      </c>
      <c r="J10" s="11">
        <v>86</v>
      </c>
      <c r="K10" s="11">
        <v>80</v>
      </c>
      <c r="L10" s="11">
        <v>77</v>
      </c>
      <c r="M10" s="11"/>
      <c r="N10" s="11"/>
      <c r="O10" s="11"/>
      <c r="P10" s="11" t="s">
        <v>124</v>
      </c>
      <c r="Q10" s="11">
        <v>117</v>
      </c>
      <c r="R10" s="11">
        <v>72</v>
      </c>
      <c r="S10" s="11">
        <v>61</v>
      </c>
      <c r="T10" s="11">
        <v>45</v>
      </c>
      <c r="U10" s="11">
        <v>72</v>
      </c>
      <c r="V10" s="11">
        <v>88</v>
      </c>
      <c r="W10" s="11">
        <v>140</v>
      </c>
      <c r="X10" s="11">
        <v>80</v>
      </c>
      <c r="Y10" s="11">
        <v>-1</v>
      </c>
      <c r="Z10" s="11">
        <v>219</v>
      </c>
      <c r="AA10" s="11">
        <v>143</v>
      </c>
      <c r="AB10" s="11">
        <v>35</v>
      </c>
      <c r="AC10" s="38">
        <v>55</v>
      </c>
      <c r="AD10" s="11">
        <v>8</v>
      </c>
      <c r="AE10" s="11">
        <v>4.2</v>
      </c>
      <c r="AF10" s="38">
        <v>9.49</v>
      </c>
      <c r="AH10" s="123"/>
      <c r="AI10" s="72">
        <v>3</v>
      </c>
      <c r="AJ10" s="15">
        <v>6</v>
      </c>
      <c r="AK10" s="15">
        <v>190</v>
      </c>
      <c r="AL10" s="15">
        <v>110</v>
      </c>
      <c r="AM10" s="15">
        <v>7</v>
      </c>
      <c r="AN10" s="15">
        <v>35</v>
      </c>
      <c r="AO10" s="15">
        <v>7</v>
      </c>
      <c r="AP10" s="15">
        <v>5.5</v>
      </c>
      <c r="AQ10" s="15">
        <v>11</v>
      </c>
    </row>
    <row r="11" spans="1:43" s="19" customFormat="1" ht="12.75">
      <c r="A11" s="11">
        <v>4</v>
      </c>
      <c r="B11" s="11" t="s">
        <v>125</v>
      </c>
      <c r="C11" s="11">
        <v>9</v>
      </c>
      <c r="D11" s="11" t="s">
        <v>78</v>
      </c>
      <c r="E11" s="11" t="s">
        <v>62</v>
      </c>
      <c r="F11" s="13">
        <v>33953</v>
      </c>
      <c r="G11" s="11">
        <v>16</v>
      </c>
      <c r="H11" s="11">
        <v>177</v>
      </c>
      <c r="I11" s="11">
        <v>69</v>
      </c>
      <c r="J11" s="11">
        <v>92</v>
      </c>
      <c r="K11" s="11">
        <v>84</v>
      </c>
      <c r="L11" s="11">
        <v>82</v>
      </c>
      <c r="M11" s="11"/>
      <c r="N11" s="11"/>
      <c r="O11" s="11"/>
      <c r="P11" s="11" t="s">
        <v>125</v>
      </c>
      <c r="Q11" s="11">
        <v>113</v>
      </c>
      <c r="R11" s="11">
        <v>66</v>
      </c>
      <c r="S11" s="11">
        <v>80</v>
      </c>
      <c r="T11" s="11">
        <v>54</v>
      </c>
      <c r="U11" s="11">
        <v>52</v>
      </c>
      <c r="V11" s="11">
        <v>76</v>
      </c>
      <c r="W11" s="11">
        <v>160</v>
      </c>
      <c r="X11" s="11">
        <v>124</v>
      </c>
      <c r="Y11" s="11">
        <v>-5</v>
      </c>
      <c r="Z11" s="11">
        <v>221</v>
      </c>
      <c r="AA11" s="11">
        <v>127</v>
      </c>
      <c r="AB11" s="11">
        <v>35</v>
      </c>
      <c r="AC11" s="38">
        <v>52</v>
      </c>
      <c r="AD11" s="11">
        <v>5</v>
      </c>
      <c r="AE11" s="11">
        <v>4</v>
      </c>
      <c r="AF11" s="38">
        <v>11.34</v>
      </c>
      <c r="AH11" s="75"/>
      <c r="AI11" s="43"/>
      <c r="AJ11" s="43"/>
      <c r="AK11" s="43"/>
      <c r="AL11" s="43"/>
      <c r="AM11" s="43"/>
      <c r="AN11" s="43"/>
      <c r="AO11" s="43"/>
      <c r="AP11" s="43"/>
      <c r="AQ11" s="28"/>
    </row>
    <row r="12" spans="1:43" s="19" customFormat="1" ht="12.75">
      <c r="A12" s="11">
        <v>5</v>
      </c>
      <c r="B12" s="11" t="s">
        <v>126</v>
      </c>
      <c r="C12" s="15">
        <v>9</v>
      </c>
      <c r="D12" s="15" t="s">
        <v>78</v>
      </c>
      <c r="E12" s="15" t="s">
        <v>62</v>
      </c>
      <c r="F12" s="32">
        <v>34222</v>
      </c>
      <c r="G12" s="15">
        <v>15</v>
      </c>
      <c r="H12" s="15">
        <v>162</v>
      </c>
      <c r="I12" s="15">
        <v>64</v>
      </c>
      <c r="J12" s="15">
        <v>88</v>
      </c>
      <c r="K12" s="15">
        <v>81</v>
      </c>
      <c r="L12" s="15">
        <v>80</v>
      </c>
      <c r="M12" s="15"/>
      <c r="N12" s="15"/>
      <c r="O12" s="15"/>
      <c r="P12" s="11" t="s">
        <v>126</v>
      </c>
      <c r="Q12" s="15">
        <v>116</v>
      </c>
      <c r="R12" s="15">
        <v>64</v>
      </c>
      <c r="S12" s="15">
        <v>80</v>
      </c>
      <c r="T12" s="15">
        <v>54</v>
      </c>
      <c r="U12" s="15">
        <v>96</v>
      </c>
      <c r="V12" s="15">
        <v>116</v>
      </c>
      <c r="W12" s="15">
        <v>148</v>
      </c>
      <c r="X12" s="15">
        <v>108</v>
      </c>
      <c r="Y12" s="12">
        <v>11</v>
      </c>
      <c r="Z12" s="11">
        <v>217</v>
      </c>
      <c r="AA12" s="12">
        <v>98</v>
      </c>
      <c r="AB12" s="11">
        <v>35</v>
      </c>
      <c r="AC12" s="38">
        <v>47</v>
      </c>
      <c r="AD12" s="12">
        <v>6</v>
      </c>
      <c r="AE12" s="11">
        <v>4</v>
      </c>
      <c r="AF12" s="38">
        <v>11.34</v>
      </c>
      <c r="AH12" s="121" t="s">
        <v>148</v>
      </c>
      <c r="AI12" s="73">
        <v>5</v>
      </c>
      <c r="AJ12" s="12">
        <v>18</v>
      </c>
      <c r="AK12" s="12">
        <v>185</v>
      </c>
      <c r="AL12" s="12">
        <v>130</v>
      </c>
      <c r="AM12" s="12">
        <v>9</v>
      </c>
      <c r="AN12" s="12">
        <v>35</v>
      </c>
      <c r="AO12" s="12">
        <v>7</v>
      </c>
      <c r="AP12" s="12">
        <v>5.1</v>
      </c>
      <c r="AQ12" s="12">
        <v>10.2</v>
      </c>
    </row>
    <row r="13" spans="1:43" s="19" customFormat="1" ht="12.75">
      <c r="A13" s="11"/>
      <c r="B13" s="25"/>
      <c r="C13" s="42"/>
      <c r="D13" s="43"/>
      <c r="E13" s="43"/>
      <c r="F13" s="57"/>
      <c r="G13" s="43"/>
      <c r="H13" s="43"/>
      <c r="I13" s="43"/>
      <c r="J13" s="43"/>
      <c r="K13" s="43"/>
      <c r="L13" s="43"/>
      <c r="M13" s="43"/>
      <c r="N13" s="43"/>
      <c r="O13" s="28"/>
      <c r="P13" s="25"/>
      <c r="Q13" s="42"/>
      <c r="R13" s="43"/>
      <c r="S13" s="43"/>
      <c r="T13" s="43"/>
      <c r="U13" s="43"/>
      <c r="V13" s="43"/>
      <c r="W13" s="43"/>
      <c r="X13" s="28"/>
      <c r="Y13" s="59"/>
      <c r="Z13" s="60"/>
      <c r="AA13" s="61"/>
      <c r="AB13" s="43"/>
      <c r="AC13" s="62"/>
      <c r="AD13" s="61"/>
      <c r="AE13" s="60"/>
      <c r="AF13" s="63"/>
      <c r="AH13" s="123"/>
      <c r="AI13" s="66">
        <v>4</v>
      </c>
      <c r="AJ13" s="11">
        <v>14</v>
      </c>
      <c r="AK13" s="11">
        <v>178</v>
      </c>
      <c r="AL13" s="11">
        <v>90</v>
      </c>
      <c r="AM13" s="11">
        <v>5</v>
      </c>
      <c r="AN13" s="11">
        <v>30</v>
      </c>
      <c r="AO13" s="11">
        <v>4</v>
      </c>
      <c r="AP13" s="11">
        <v>5.5</v>
      </c>
      <c r="AQ13" s="11">
        <v>12</v>
      </c>
    </row>
    <row r="14" spans="1:43" s="19" customFormat="1" ht="12.75">
      <c r="A14" s="11">
        <v>6</v>
      </c>
      <c r="B14" s="12" t="s">
        <v>127</v>
      </c>
      <c r="C14" s="12">
        <v>9</v>
      </c>
      <c r="D14" s="12" t="s">
        <v>78</v>
      </c>
      <c r="E14" s="12" t="s">
        <v>68</v>
      </c>
      <c r="F14" s="56">
        <v>34374</v>
      </c>
      <c r="G14" s="12">
        <v>14</v>
      </c>
      <c r="H14" s="12">
        <v>163</v>
      </c>
      <c r="I14" s="12">
        <v>60</v>
      </c>
      <c r="J14" s="12">
        <v>82</v>
      </c>
      <c r="K14" s="12">
        <v>79</v>
      </c>
      <c r="L14" s="12">
        <v>78</v>
      </c>
      <c r="M14" s="12"/>
      <c r="N14" s="12"/>
      <c r="O14" s="12"/>
      <c r="P14" s="12" t="s">
        <v>127</v>
      </c>
      <c r="Q14" s="12">
        <v>125</v>
      </c>
      <c r="R14" s="12">
        <v>72</v>
      </c>
      <c r="S14" s="12">
        <v>60</v>
      </c>
      <c r="T14" s="12">
        <v>41</v>
      </c>
      <c r="U14" s="12">
        <v>80</v>
      </c>
      <c r="V14" s="12">
        <v>96</v>
      </c>
      <c r="W14" s="12">
        <v>132</v>
      </c>
      <c r="X14" s="12">
        <v>80</v>
      </c>
      <c r="Y14" s="11">
        <v>21</v>
      </c>
      <c r="Z14" s="11">
        <v>162</v>
      </c>
      <c r="AA14" s="11">
        <v>136</v>
      </c>
      <c r="AB14" s="12">
        <v>14</v>
      </c>
      <c r="AC14" s="38">
        <v>47</v>
      </c>
      <c r="AD14" s="11">
        <v>13</v>
      </c>
      <c r="AE14" s="11">
        <v>5.1</v>
      </c>
      <c r="AF14" s="40">
        <v>12.06</v>
      </c>
      <c r="AH14" s="122"/>
      <c r="AI14" s="66">
        <v>3</v>
      </c>
      <c r="AJ14" s="11">
        <v>11</v>
      </c>
      <c r="AK14" s="11">
        <v>170</v>
      </c>
      <c r="AL14" s="11">
        <v>60</v>
      </c>
      <c r="AM14" s="11">
        <v>3</v>
      </c>
      <c r="AN14" s="11">
        <v>25</v>
      </c>
      <c r="AO14" s="11">
        <v>2</v>
      </c>
      <c r="AP14" s="68">
        <v>5.9</v>
      </c>
      <c r="AQ14" s="68">
        <v>13</v>
      </c>
    </row>
    <row r="15" spans="1:32" s="19" customFormat="1" ht="12.75">
      <c r="A15" s="11">
        <v>7</v>
      </c>
      <c r="B15" s="11" t="s">
        <v>128</v>
      </c>
      <c r="C15" s="11">
        <v>9</v>
      </c>
      <c r="D15" s="11" t="s">
        <v>78</v>
      </c>
      <c r="E15" s="11" t="s">
        <v>68</v>
      </c>
      <c r="F15" s="13">
        <v>34269</v>
      </c>
      <c r="G15" s="11">
        <v>15</v>
      </c>
      <c r="H15" s="11">
        <v>160</v>
      </c>
      <c r="I15" s="11">
        <v>52</v>
      </c>
      <c r="J15" s="11">
        <v>72</v>
      </c>
      <c r="K15" s="11">
        <v>67</v>
      </c>
      <c r="L15" s="11">
        <v>66</v>
      </c>
      <c r="M15" s="11"/>
      <c r="N15" s="11"/>
      <c r="O15" s="11"/>
      <c r="P15" s="11" t="s">
        <v>128</v>
      </c>
      <c r="Q15" s="11">
        <v>128</v>
      </c>
      <c r="R15" s="11">
        <v>76</v>
      </c>
      <c r="S15" s="11">
        <v>32</v>
      </c>
      <c r="T15" s="11">
        <v>25</v>
      </c>
      <c r="U15" s="11">
        <v>80</v>
      </c>
      <c r="V15" s="11">
        <v>112</v>
      </c>
      <c r="W15" s="11">
        <v>152</v>
      </c>
      <c r="X15" s="11">
        <v>92</v>
      </c>
      <c r="Y15" s="11">
        <v>23</v>
      </c>
      <c r="Z15" s="11">
        <v>181</v>
      </c>
      <c r="AA15" s="11">
        <v>116</v>
      </c>
      <c r="AB15" s="11">
        <v>14</v>
      </c>
      <c r="AC15" s="38">
        <v>40</v>
      </c>
      <c r="AD15" s="11">
        <v>8</v>
      </c>
      <c r="AE15" s="11">
        <v>4.9</v>
      </c>
      <c r="AF15" s="38">
        <v>16.25</v>
      </c>
    </row>
    <row r="16" spans="1:32" s="19" customFormat="1" ht="12.75">
      <c r="A16" s="11">
        <v>8</v>
      </c>
      <c r="B16" s="11" t="s">
        <v>129</v>
      </c>
      <c r="C16" s="11">
        <v>9</v>
      </c>
      <c r="D16" s="11" t="s">
        <v>78</v>
      </c>
      <c r="E16" s="11" t="s">
        <v>68</v>
      </c>
      <c r="F16" s="13">
        <v>34311</v>
      </c>
      <c r="G16" s="11">
        <v>15</v>
      </c>
      <c r="H16" s="11">
        <v>170</v>
      </c>
      <c r="I16" s="11">
        <v>47</v>
      </c>
      <c r="J16" s="11">
        <v>73</v>
      </c>
      <c r="K16" s="11">
        <v>69</v>
      </c>
      <c r="L16" s="11">
        <v>67</v>
      </c>
      <c r="M16" s="11"/>
      <c r="N16" s="11"/>
      <c r="O16" s="11"/>
      <c r="P16" s="11" t="s">
        <v>129</v>
      </c>
      <c r="Q16" s="11">
        <v>96</v>
      </c>
      <c r="R16" s="11">
        <v>61</v>
      </c>
      <c r="S16" s="11">
        <v>56</v>
      </c>
      <c r="T16" s="11">
        <v>45</v>
      </c>
      <c r="U16" s="11">
        <v>76</v>
      </c>
      <c r="V16" s="11">
        <v>100</v>
      </c>
      <c r="W16" s="11">
        <v>156</v>
      </c>
      <c r="X16" s="11">
        <v>84</v>
      </c>
      <c r="Y16" s="11">
        <v>11</v>
      </c>
      <c r="Z16" s="11">
        <v>161</v>
      </c>
      <c r="AA16" s="11">
        <v>146</v>
      </c>
      <c r="AB16" s="11">
        <v>3</v>
      </c>
      <c r="AC16" s="38">
        <v>37</v>
      </c>
      <c r="AD16" s="11">
        <v>9</v>
      </c>
      <c r="AE16" s="11">
        <v>5.1</v>
      </c>
      <c r="AF16" s="38">
        <v>12.3</v>
      </c>
    </row>
    <row r="17" spans="1:32" s="19" customFormat="1" ht="12.75">
      <c r="A17" s="11">
        <v>9</v>
      </c>
      <c r="B17" s="11" t="s">
        <v>130</v>
      </c>
      <c r="C17" s="11">
        <v>9</v>
      </c>
      <c r="D17" s="11" t="s">
        <v>78</v>
      </c>
      <c r="E17" s="11" t="s">
        <v>68</v>
      </c>
      <c r="F17" s="13">
        <v>34192</v>
      </c>
      <c r="G17" s="11">
        <v>15</v>
      </c>
      <c r="H17" s="11">
        <v>162</v>
      </c>
      <c r="I17" s="11">
        <v>60</v>
      </c>
      <c r="J17" s="11">
        <v>82</v>
      </c>
      <c r="K17" s="11">
        <v>78</v>
      </c>
      <c r="L17" s="11">
        <v>77</v>
      </c>
      <c r="M17" s="11"/>
      <c r="N17" s="11"/>
      <c r="O17" s="11"/>
      <c r="P17" s="11" t="s">
        <v>130</v>
      </c>
      <c r="Q17" s="11">
        <v>120</v>
      </c>
      <c r="R17" s="11">
        <v>70</v>
      </c>
      <c r="S17" s="11">
        <v>43</v>
      </c>
      <c r="T17" s="11">
        <v>37</v>
      </c>
      <c r="U17" s="11">
        <v>72</v>
      </c>
      <c r="V17" s="11">
        <v>96</v>
      </c>
      <c r="W17" s="11">
        <v>128</v>
      </c>
      <c r="X17" s="11">
        <v>80</v>
      </c>
      <c r="Y17" s="11">
        <v>3</v>
      </c>
      <c r="Z17" s="11">
        <v>170</v>
      </c>
      <c r="AA17" s="11">
        <v>109</v>
      </c>
      <c r="AB17" s="11">
        <v>6</v>
      </c>
      <c r="AC17" s="38">
        <v>35</v>
      </c>
      <c r="AD17" s="11">
        <v>15</v>
      </c>
      <c r="AE17" s="11">
        <v>4.9</v>
      </c>
      <c r="AF17" s="38">
        <v>12.3</v>
      </c>
    </row>
    <row r="18" spans="1:32" s="74" customFormat="1" ht="12.75">
      <c r="A18" s="11">
        <v>10</v>
      </c>
      <c r="B18" s="11" t="s">
        <v>131</v>
      </c>
      <c r="C18" s="11">
        <v>9</v>
      </c>
      <c r="D18" s="11" t="s">
        <v>78</v>
      </c>
      <c r="E18" s="11" t="s">
        <v>68</v>
      </c>
      <c r="F18" s="13">
        <v>33907</v>
      </c>
      <c r="G18" s="11">
        <v>16</v>
      </c>
      <c r="H18" s="11">
        <v>151</v>
      </c>
      <c r="I18" s="11">
        <v>66</v>
      </c>
      <c r="J18" s="11">
        <v>88</v>
      </c>
      <c r="K18" s="11">
        <v>86</v>
      </c>
      <c r="L18" s="11">
        <v>84</v>
      </c>
      <c r="M18" s="11"/>
      <c r="N18" s="11"/>
      <c r="O18" s="11"/>
      <c r="P18" s="11" t="s">
        <v>131</v>
      </c>
      <c r="Q18" s="11">
        <v>132</v>
      </c>
      <c r="R18" s="11">
        <v>76</v>
      </c>
      <c r="S18" s="11">
        <v>70</v>
      </c>
      <c r="T18" s="11">
        <v>57</v>
      </c>
      <c r="U18" s="11">
        <v>80</v>
      </c>
      <c r="V18" s="11">
        <v>68</v>
      </c>
      <c r="W18" s="11">
        <v>148</v>
      </c>
      <c r="X18" s="11">
        <v>108</v>
      </c>
      <c r="Y18" s="11">
        <v>17</v>
      </c>
      <c r="Z18" s="11">
        <v>151</v>
      </c>
      <c r="AA18" s="11">
        <v>101</v>
      </c>
      <c r="AB18" s="11">
        <v>3</v>
      </c>
      <c r="AC18" s="38">
        <v>33</v>
      </c>
      <c r="AD18" s="11">
        <v>3</v>
      </c>
      <c r="AE18" s="11">
        <v>5.3</v>
      </c>
      <c r="AF18" s="38">
        <v>14.58</v>
      </c>
    </row>
    <row r="19" spans="1:32" s="37" customFormat="1" ht="15">
      <c r="A19" s="33"/>
      <c r="B19" s="34"/>
      <c r="C19" s="33"/>
      <c r="D19" s="33"/>
      <c r="E19" s="33"/>
      <c r="F19" s="35"/>
      <c r="G19" s="33"/>
      <c r="H19" s="36"/>
      <c r="I19" s="36"/>
      <c r="J19" s="33"/>
      <c r="K19" s="36"/>
      <c r="L19" s="33"/>
      <c r="M19" s="33"/>
      <c r="N19" s="33"/>
      <c r="O19" s="33"/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6"/>
      <c r="AA19" s="33"/>
      <c r="AB19" s="33"/>
      <c r="AC19" s="33"/>
      <c r="AD19" s="33"/>
      <c r="AE19" s="36"/>
      <c r="AF19" s="33"/>
    </row>
    <row r="20" spans="2:35" s="37" customFormat="1" ht="15">
      <c r="B20" s="114" t="s">
        <v>135</v>
      </c>
      <c r="C20" s="114"/>
      <c r="D20" s="114"/>
      <c r="E20" s="33"/>
      <c r="F20" s="35"/>
      <c r="G20" s="33"/>
      <c r="H20" s="36"/>
      <c r="I20" s="36"/>
      <c r="J20" s="33"/>
      <c r="K20" s="36"/>
      <c r="L20" s="33"/>
      <c r="M20" s="33"/>
      <c r="N20" s="33"/>
      <c r="O20" s="33"/>
      <c r="P20" s="91"/>
      <c r="Q20" s="92" t="s">
        <v>170</v>
      </c>
      <c r="R20" s="92" t="s">
        <v>167</v>
      </c>
      <c r="S20" s="92" t="s">
        <v>168</v>
      </c>
      <c r="T20" s="92" t="s">
        <v>171</v>
      </c>
      <c r="U20" s="33"/>
      <c r="V20" s="33"/>
      <c r="W20" s="33"/>
      <c r="X20" s="33"/>
      <c r="Y20" s="4">
        <f>COUNTIF(Y8:Y12,"&gt;=11")</f>
        <v>3</v>
      </c>
      <c r="Z20" s="4">
        <f>_xlfn.COUNTIFS(Z8:Z12,"&gt;=200")</f>
        <v>5</v>
      </c>
      <c r="AA20" s="4">
        <f>_xlfn.COUNTIFS(AA8:AA12,"&gt;=130")</f>
        <v>2</v>
      </c>
      <c r="AB20" s="4">
        <f>_xlfn.COUNTIFS(AB8:AB12,"&gt;=22")</f>
        <v>5</v>
      </c>
      <c r="AC20" s="4">
        <f>_xlfn.COUNTIFS(AC8:AC12,"&gt;=50")</f>
        <v>4</v>
      </c>
      <c r="AD20" s="4">
        <f>_xlfn.COUNTIFS(AD8:AD12,"&gt;=10")</f>
        <v>2</v>
      </c>
      <c r="AE20" s="4">
        <f>_xlfn.COUNTIFS(AE8:AE12,"&lt;=4,5")</f>
        <v>5</v>
      </c>
      <c r="AF20" s="4">
        <f>_xlfn.COUNTIFS(AF8:AF12,"&lt;=9,2")</f>
        <v>0</v>
      </c>
      <c r="AG20" s="66" t="s">
        <v>152</v>
      </c>
      <c r="AH20" s="142" t="s">
        <v>147</v>
      </c>
      <c r="AI20" s="143"/>
    </row>
    <row r="21" spans="1:35" s="37" customFormat="1" ht="15">
      <c r="A21" s="33"/>
      <c r="B21" s="44"/>
      <c r="C21" s="44"/>
      <c r="D21" s="45"/>
      <c r="E21" s="33"/>
      <c r="F21" s="35"/>
      <c r="G21" s="33"/>
      <c r="H21" s="36"/>
      <c r="I21" s="36"/>
      <c r="J21" s="33"/>
      <c r="K21" s="36"/>
      <c r="L21" s="33"/>
      <c r="M21" s="33"/>
      <c r="N21" s="33"/>
      <c r="O21" s="33"/>
      <c r="P21" s="101"/>
      <c r="Q21" s="102"/>
      <c r="R21" s="102"/>
      <c r="S21" s="102"/>
      <c r="T21" s="77"/>
      <c r="U21" s="33"/>
      <c r="V21" s="33"/>
      <c r="W21" s="33"/>
      <c r="X21" s="33"/>
      <c r="Y21" s="4">
        <f>_xlfn.COUNTIFS(Y8:Y12,"&lt;11",Y8:Y12,"&gt;=9")</f>
        <v>0</v>
      </c>
      <c r="Z21" s="4">
        <f>_xlfn.COUNTIFS(Z8:Z12,"&lt;200",Z8:Z12,"&gt;195")</f>
        <v>0</v>
      </c>
      <c r="AA21" s="4">
        <f>_xlfn.COUNTIFS(AA8:AA12,"&lt;130",AA8:AA12,"&gt;=120")</f>
        <v>2</v>
      </c>
      <c r="AB21" s="4">
        <f>_xlfn.COUNTIFS(AB8:AB12,"&lt;22",AB8:AB12,"&gt;=17")</f>
        <v>0</v>
      </c>
      <c r="AC21" s="4">
        <f>_xlfn.COUNTIFS(AC8:AC12,"&lt;50",AC8:AC12,"&gt;=43")</f>
        <v>1</v>
      </c>
      <c r="AD21" s="4">
        <f>_xlfn.COUNTIFS(AD8:AD12,"&lt;10",AD8:AD12,"&gt;=8")</f>
        <v>1</v>
      </c>
      <c r="AE21" s="4">
        <f>_xlfn.COUNTIFS(AE8:AE12,"&gt;4,5",AE8:AE12,"&lt;=5")</f>
        <v>0</v>
      </c>
      <c r="AF21" s="4">
        <f>_xlfn.COUNTIFS(AF8:AF12,"&gt;9,2",AF8:AF12,"&lt;=10")</f>
        <v>2</v>
      </c>
      <c r="AG21" s="66" t="s">
        <v>153</v>
      </c>
      <c r="AH21" s="144"/>
      <c r="AI21" s="145"/>
    </row>
    <row r="22" spans="1:35" s="37" customFormat="1" ht="14.25">
      <c r="A22" s="33"/>
      <c r="B22" s="46" t="s">
        <v>136</v>
      </c>
      <c r="C22" s="47">
        <v>10</v>
      </c>
      <c r="D22" s="48" t="s">
        <v>137</v>
      </c>
      <c r="E22" s="33"/>
      <c r="F22" s="35"/>
      <c r="G22" s="33"/>
      <c r="H22" s="36"/>
      <c r="I22" s="36"/>
      <c r="J22" s="33"/>
      <c r="K22" s="36"/>
      <c r="L22" s="33"/>
      <c r="M22" s="33"/>
      <c r="N22" s="33"/>
      <c r="O22" s="33"/>
      <c r="P22" s="12" t="s">
        <v>122</v>
      </c>
      <c r="Q22" s="93">
        <v>23.3</v>
      </c>
      <c r="R22" s="93">
        <f>(I8/H8)*(AC8/60)</f>
        <v>0.37806026365348394</v>
      </c>
      <c r="S22" s="93">
        <f>U8*Q8/100</f>
        <v>115</v>
      </c>
      <c r="T22" s="93">
        <v>90.8</v>
      </c>
      <c r="U22" s="33"/>
      <c r="V22" s="33"/>
      <c r="W22" s="33"/>
      <c r="X22" s="33"/>
      <c r="Y22" s="4">
        <f>_xlfn.COUNTIFS(Y8:Y12,"&lt;9",Y8:Y12,"&gt;=6")</f>
        <v>0</v>
      </c>
      <c r="Z22" s="4">
        <f>_xlfn.COUNTIFS(Z8:Z12,"&lt;195",Z8:Z12,"&gt;190")</f>
        <v>0</v>
      </c>
      <c r="AA22" s="4">
        <f>_xlfn.COUNTIFS(AA8:AA12,"&lt;120",AA8:AA12,"&gt;=110")</f>
        <v>0</v>
      </c>
      <c r="AB22" s="4">
        <f>_xlfn.COUNTIFS(AB8:AB12,"&lt;17",AB8:AB12,"&gt;=7")</f>
        <v>0</v>
      </c>
      <c r="AC22" s="4">
        <f>_xlfn.COUNTIFS(AC8:AC12,"&lt;43",AC8:AC12,"&gt;=35")</f>
        <v>0</v>
      </c>
      <c r="AD22" s="4">
        <f>_xlfn.COUNTIFS(AD8:AD12,"&lt;8",AD8:AD12,"&gt;=7")</f>
        <v>0</v>
      </c>
      <c r="AE22" s="4">
        <f>_xlfn.COUNTIFS(AE8:AE12,"&gt;5",AE8:AE12,"&lt;=5,5")</f>
        <v>0</v>
      </c>
      <c r="AF22" s="4">
        <f>_xlfn.COUNTIFS(AF8:AF12,"&gt;10",AF8:AF12,"&lt;=11")</f>
        <v>1</v>
      </c>
      <c r="AG22" s="66" t="s">
        <v>154</v>
      </c>
      <c r="AH22" s="144"/>
      <c r="AI22" s="145"/>
    </row>
    <row r="23" spans="1:35" s="37" customFormat="1" ht="14.25">
      <c r="A23" s="33"/>
      <c r="B23" s="49" t="s">
        <v>138</v>
      </c>
      <c r="C23" s="50">
        <v>1</v>
      </c>
      <c r="D23" s="51">
        <f>C23*100/C22</f>
        <v>10</v>
      </c>
      <c r="E23" s="33"/>
      <c r="F23" s="35"/>
      <c r="G23" s="33"/>
      <c r="H23" s="36"/>
      <c r="I23" s="36"/>
      <c r="J23" s="33"/>
      <c r="K23" s="36"/>
      <c r="L23" s="33"/>
      <c r="M23" s="33"/>
      <c r="N23" s="33"/>
      <c r="O23" s="33"/>
      <c r="P23" s="11" t="s">
        <v>123</v>
      </c>
      <c r="Q23" s="4">
        <v>24.39</v>
      </c>
      <c r="R23" s="4">
        <f>(I9/H9)*(AC9/60)</f>
        <v>0.35485714285714287</v>
      </c>
      <c r="S23" s="4">
        <f>U9*Q9/100</f>
        <v>116.48</v>
      </c>
      <c r="T23" s="4">
        <v>82.97</v>
      </c>
      <c r="U23" s="33"/>
      <c r="V23" s="33"/>
      <c r="W23" s="33"/>
      <c r="X23" s="33"/>
      <c r="Y23" s="4">
        <f>_xlfn.COUNTIFS(Y8:Y12,"&lt;6")</f>
        <v>2</v>
      </c>
      <c r="Z23" s="4">
        <f>_xlfn.COUNTIFS(Z8:Z12,"&lt;190")</f>
        <v>0</v>
      </c>
      <c r="AA23" s="4">
        <f>_xlfn.COUNTIFS(AA8:AA12,"&lt;110")</f>
        <v>1</v>
      </c>
      <c r="AB23" s="4">
        <f>_xlfn.COUNTIFS(AB8:AB12,"&lt;7")</f>
        <v>0</v>
      </c>
      <c r="AC23" s="4">
        <f>_xlfn.COUNTIFS(AC8:AC12,"&lt;35")</f>
        <v>0</v>
      </c>
      <c r="AD23" s="4">
        <f>_xlfn.COUNTIFS(AD8:AD12,"&lt;7")</f>
        <v>2</v>
      </c>
      <c r="AE23" s="4">
        <f>_xlfn.COUNTIFS(AE8:AE12,"&gt;5,5")</f>
        <v>0</v>
      </c>
      <c r="AF23" s="4">
        <f>_xlfn.COUNTIFS(AF8:AF12,"&gt;11")</f>
        <v>2</v>
      </c>
      <c r="AG23" s="66" t="s">
        <v>155</v>
      </c>
      <c r="AH23" s="146"/>
      <c r="AI23" s="147"/>
    </row>
    <row r="24" spans="1:35" s="37" customFormat="1" ht="14.25">
      <c r="A24" s="33"/>
      <c r="B24" s="52" t="s">
        <v>139</v>
      </c>
      <c r="C24" s="50">
        <v>0</v>
      </c>
      <c r="D24" s="115">
        <f>(C24+C25+C26)*100/C22</f>
        <v>60</v>
      </c>
      <c r="E24" s="33"/>
      <c r="F24" s="35"/>
      <c r="G24" s="33"/>
      <c r="H24" s="36"/>
      <c r="I24" s="36"/>
      <c r="J24" s="33"/>
      <c r="K24" s="36"/>
      <c r="L24" s="33"/>
      <c r="M24" s="33"/>
      <c r="N24" s="33"/>
      <c r="O24" s="33"/>
      <c r="P24" s="11" t="s">
        <v>124</v>
      </c>
      <c r="Q24" s="4">
        <v>20.52</v>
      </c>
      <c r="R24" s="4">
        <f>(I10/H10)*(AC10/60)</f>
        <v>0.34991039426523296</v>
      </c>
      <c r="S24" s="4">
        <f>U10*Q10/100</f>
        <v>84.24</v>
      </c>
      <c r="T24" s="4">
        <v>116.91</v>
      </c>
      <c r="U24" s="33"/>
      <c r="V24" s="33"/>
      <c r="W24" s="33"/>
      <c r="X24" s="33"/>
      <c r="Y24" s="81"/>
      <c r="Z24" s="2"/>
      <c r="AA24" s="2"/>
      <c r="AB24" s="2"/>
      <c r="AC24" s="2"/>
      <c r="AD24" s="2"/>
      <c r="AE24" s="2"/>
      <c r="AF24" s="2"/>
      <c r="AG24" s="2"/>
      <c r="AH24" s="3"/>
      <c r="AI24" s="3"/>
    </row>
    <row r="25" spans="1:35" s="37" customFormat="1" ht="14.25">
      <c r="A25" s="33"/>
      <c r="B25" s="53" t="s">
        <v>140</v>
      </c>
      <c r="C25" s="50">
        <v>2</v>
      </c>
      <c r="D25" s="116"/>
      <c r="E25" s="33"/>
      <c r="F25" s="35"/>
      <c r="G25" s="33"/>
      <c r="H25" s="36"/>
      <c r="I25" s="36"/>
      <c r="J25" s="33"/>
      <c r="K25" s="36"/>
      <c r="L25" s="33"/>
      <c r="M25" s="33"/>
      <c r="N25" s="33"/>
      <c r="O25" s="33"/>
      <c r="P25" s="11" t="s">
        <v>125</v>
      </c>
      <c r="Q25" s="4">
        <v>22.02</v>
      </c>
      <c r="R25" s="4">
        <f>(I11/H11)*(AC11/60)</f>
        <v>0.3378531073446328</v>
      </c>
      <c r="S25" s="4">
        <f>U11*Q11/100</f>
        <v>58.76</v>
      </c>
      <c r="T25" s="4">
        <v>102.79</v>
      </c>
      <c r="U25" s="33"/>
      <c r="V25" s="33"/>
      <c r="W25" s="33"/>
      <c r="X25" s="33"/>
      <c r="Y25" s="4">
        <f>COUNTIF(Y14:Y18,"&gt;=18")</f>
        <v>2</v>
      </c>
      <c r="Z25" s="4">
        <f>_xlfn.COUNTIFS(Z14:Z18,"&gt;=185")</f>
        <v>0</v>
      </c>
      <c r="AA25" s="4">
        <f>_xlfn.COUNTIFS(AA14:AA18,"&gt;=130")</f>
        <v>2</v>
      </c>
      <c r="AB25" s="4">
        <f>_xlfn.COUNTIFS(AB14:AB18,"&gt;=9")</f>
        <v>2</v>
      </c>
      <c r="AC25" s="4">
        <f>_xlfn.COUNTIFS(AC14:AC18,"&gt;=35")</f>
        <v>4</v>
      </c>
      <c r="AD25" s="4">
        <f>_xlfn.COUNTIFS(AD14:AD18,"&gt;=7")</f>
        <v>4</v>
      </c>
      <c r="AE25" s="4">
        <f>_xlfn.COUNTIFS(AE14:AE18,"&lt;=5,1")</f>
        <v>4</v>
      </c>
      <c r="AF25" s="4">
        <f>_xlfn.COUNTIFS(AF14:AF18,"&lt;=10,2")</f>
        <v>0</v>
      </c>
      <c r="AG25" s="66" t="s">
        <v>152</v>
      </c>
      <c r="AH25" s="142" t="s">
        <v>148</v>
      </c>
      <c r="AI25" s="143"/>
    </row>
    <row r="26" spans="1:35" s="37" customFormat="1" ht="14.25">
      <c r="A26" s="33"/>
      <c r="B26" s="54" t="s">
        <v>141</v>
      </c>
      <c r="C26" s="50">
        <v>4</v>
      </c>
      <c r="D26" s="117"/>
      <c r="E26" s="33"/>
      <c r="F26" s="35"/>
      <c r="G26" s="33"/>
      <c r="H26" s="36"/>
      <c r="I26" s="36"/>
      <c r="J26" s="33"/>
      <c r="K26" s="36"/>
      <c r="L26" s="33"/>
      <c r="M26" s="33"/>
      <c r="N26" s="33"/>
      <c r="O26" s="33"/>
      <c r="P26" s="11" t="s">
        <v>126</v>
      </c>
      <c r="Q26" s="4">
        <v>22.53</v>
      </c>
      <c r="R26" s="4">
        <f>(I12/H12)*(AC12/60)</f>
        <v>0.3094650205761317</v>
      </c>
      <c r="S26" s="4">
        <f>U12*Q12/100</f>
        <v>111.36</v>
      </c>
      <c r="T26" s="4">
        <v>99.31</v>
      </c>
      <c r="U26" s="33"/>
      <c r="V26" s="33"/>
      <c r="W26" s="33"/>
      <c r="X26" s="33"/>
      <c r="Y26" s="4">
        <f>_xlfn.COUNTIFS(Y14:Y18,"&lt;18",Y14:Y18,"&gt;=14")</f>
        <v>1</v>
      </c>
      <c r="Z26" s="4">
        <f>_xlfn.COUNTIFS(Z14:Z18,"&lt;185",Z14:Z18,"&gt;=178")</f>
        <v>1</v>
      </c>
      <c r="AA26" s="4">
        <f>_xlfn.COUNTIFS(AA14:AA18,"&lt;130",AA14:AA18,"&gt;=90")</f>
        <v>3</v>
      </c>
      <c r="AB26" s="4">
        <f>_xlfn.COUNTIFS(AB14:AB18,"&lt;9",AB14:AB18,"&gt;=5")</f>
        <v>1</v>
      </c>
      <c r="AC26" s="4">
        <f>_xlfn.COUNTIFS(AC14:AC18,"&lt;35",AC14:AC18,"&gt;=30")</f>
        <v>1</v>
      </c>
      <c r="AD26" s="4">
        <f>_xlfn.COUNTIFS(AD14:AD18,"&lt;7",AD14:AD18,"&gt;=4")</f>
        <v>0</v>
      </c>
      <c r="AE26" s="4">
        <f>_xlfn.COUNTIFS(AE14:AE18,"&gt;5,1",AE14:AE18,"&lt;=5,5")</f>
        <v>1</v>
      </c>
      <c r="AF26" s="4">
        <f>_xlfn.COUNTIFS(AF14:AF18,"&gt;10,2",AF14:AF18,"&lt;=12")</f>
        <v>0</v>
      </c>
      <c r="AG26" s="66" t="s">
        <v>153</v>
      </c>
      <c r="AH26" s="144"/>
      <c r="AI26" s="145"/>
    </row>
    <row r="27" spans="1:35" s="37" customFormat="1" ht="14.25">
      <c r="A27" s="33"/>
      <c r="B27" s="55" t="s">
        <v>142</v>
      </c>
      <c r="C27" s="50">
        <v>3</v>
      </c>
      <c r="D27" s="50">
        <f>C27*100/C22</f>
        <v>30</v>
      </c>
      <c r="E27" s="33"/>
      <c r="F27" s="35"/>
      <c r="G27" s="33"/>
      <c r="H27" s="36"/>
      <c r="I27" s="36"/>
      <c r="J27" s="33"/>
      <c r="K27" s="36"/>
      <c r="L27" s="33"/>
      <c r="M27" s="33"/>
      <c r="N27" s="33"/>
      <c r="O27" s="33"/>
      <c r="P27" s="89"/>
      <c r="Q27" s="4"/>
      <c r="R27" s="4"/>
      <c r="S27" s="4"/>
      <c r="T27" s="4"/>
      <c r="U27" s="33"/>
      <c r="V27" s="33"/>
      <c r="W27" s="33"/>
      <c r="X27" s="33"/>
      <c r="Y27" s="4">
        <f>_xlfn.COUNTIFS(Y14:Y18,"&lt;14",Y14:Y18,"&gt;=11")</f>
        <v>1</v>
      </c>
      <c r="Z27" s="4">
        <f>_xlfn.COUNTIFS(Z14:Z18,"&lt;178",Z14:Z18,"&gt;=170")</f>
        <v>1</v>
      </c>
      <c r="AA27" s="4">
        <f>_xlfn.COUNTIFS(AA14:AA18,"&lt;90",AA14:AA18,"&gt;=60")</f>
        <v>0</v>
      </c>
      <c r="AB27" s="4">
        <f>_xlfn.COUNTIFS(AB14:AB18,"&lt;5",AB14:AB18,"&gt;=3")</f>
        <v>2</v>
      </c>
      <c r="AC27" s="4">
        <f>_xlfn.COUNTIFS(AC14:AC18,"&lt;30",AC14:AC18,"&gt;=25")</f>
        <v>0</v>
      </c>
      <c r="AD27" s="4">
        <f>_xlfn.COUNTIFS(AD14:AD18,"&lt;4",AD14:AD18,"&gt;=2")</f>
        <v>1</v>
      </c>
      <c r="AE27" s="4">
        <f>_xlfn.COUNTIFS(AE14:AE18,"&gt;5,5",AE14:AE18,"&lt;=5,9")</f>
        <v>0</v>
      </c>
      <c r="AF27" s="4">
        <f>_xlfn.COUNTIFS(AF14:AF18,"&gt;12",AF14:AF18,"&lt;=13")</f>
        <v>3</v>
      </c>
      <c r="AG27" s="66" t="s">
        <v>154</v>
      </c>
      <c r="AH27" s="144"/>
      <c r="AI27" s="145"/>
    </row>
    <row r="28" spans="1:35" s="37" customFormat="1" ht="15">
      <c r="A28" s="33"/>
      <c r="B28" s="34"/>
      <c r="C28" s="33"/>
      <c r="D28" s="33"/>
      <c r="E28" s="33"/>
      <c r="F28" s="35"/>
      <c r="G28" s="33"/>
      <c r="H28" s="36"/>
      <c r="I28" s="36"/>
      <c r="J28" s="33"/>
      <c r="K28" s="36"/>
      <c r="L28" s="33"/>
      <c r="M28" s="33"/>
      <c r="N28" s="33"/>
      <c r="O28" s="33"/>
      <c r="P28" s="11" t="s">
        <v>127</v>
      </c>
      <c r="Q28" s="4">
        <v>20.31</v>
      </c>
      <c r="R28" s="4">
        <f>(I14/H14)*(AC14/60)</f>
        <v>0.2883435582822086</v>
      </c>
      <c r="S28" s="4">
        <f>U14*Q14/100</f>
        <v>100</v>
      </c>
      <c r="T28" s="4">
        <v>119.1</v>
      </c>
      <c r="U28" s="33"/>
      <c r="V28" s="33"/>
      <c r="W28" s="33"/>
      <c r="X28" s="33"/>
      <c r="Y28" s="4">
        <f>_xlfn.COUNTIFS(Y14:Y18,"&lt;11")</f>
        <v>1</v>
      </c>
      <c r="Z28" s="4">
        <f>_xlfn.COUNTIFS(Z14:Z18,"&lt;170")</f>
        <v>3</v>
      </c>
      <c r="AA28" s="4">
        <f>_xlfn.COUNTIFS(AA14:AA18,"&lt;60")</f>
        <v>0</v>
      </c>
      <c r="AB28" s="4">
        <f>_xlfn.COUNTIFS(AB14:AB18,"&lt;3")</f>
        <v>0</v>
      </c>
      <c r="AC28" s="4">
        <f>_xlfn.COUNTIFS(AC14:AC18,"&lt;25")</f>
        <v>0</v>
      </c>
      <c r="AD28" s="4">
        <f>_xlfn.COUNTIFS(AD14:AD18,"&lt;2")</f>
        <v>0</v>
      </c>
      <c r="AE28" s="4">
        <f>_xlfn.COUNTIFS(AE14:AE18,"&gt;5,9")</f>
        <v>0</v>
      </c>
      <c r="AF28" s="4">
        <f>_xlfn.COUNTIFS(AF14:AF18,"&gt;13")</f>
        <v>2</v>
      </c>
      <c r="AG28" s="66" t="s">
        <v>155</v>
      </c>
      <c r="AH28" s="146"/>
      <c r="AI28" s="147"/>
    </row>
    <row r="29" spans="1:32" s="37" customFormat="1" ht="15">
      <c r="A29" s="33"/>
      <c r="B29" s="34"/>
      <c r="C29" s="33"/>
      <c r="D29" s="33"/>
      <c r="E29" s="33"/>
      <c r="F29" s="35"/>
      <c r="G29" s="33"/>
      <c r="H29" s="36"/>
      <c r="I29" s="36"/>
      <c r="J29" s="33"/>
      <c r="K29" s="36"/>
      <c r="L29" s="33"/>
      <c r="M29" s="33"/>
      <c r="N29" s="33"/>
      <c r="O29" s="33"/>
      <c r="P29" s="11" t="s">
        <v>128</v>
      </c>
      <c r="Q29" s="4">
        <v>16.26</v>
      </c>
      <c r="R29" s="4">
        <f>(I15/H15)*(AC15/60)</f>
        <v>0.21666666666666667</v>
      </c>
      <c r="S29" s="4">
        <f>U15*Q15/100</f>
        <v>102.4</v>
      </c>
      <c r="T29" s="4">
        <v>148.46</v>
      </c>
      <c r="U29" s="33"/>
      <c r="V29" s="33"/>
      <c r="W29" s="33"/>
      <c r="X29" s="33"/>
      <c r="Y29" s="33"/>
      <c r="Z29" s="36"/>
      <c r="AA29" s="33"/>
      <c r="AB29" s="33"/>
      <c r="AC29" s="33"/>
      <c r="AD29" s="33"/>
      <c r="AE29" s="36"/>
      <c r="AF29" s="33"/>
    </row>
    <row r="30" spans="1:35" s="37" customFormat="1" ht="15">
      <c r="A30" s="33"/>
      <c r="B30" s="34"/>
      <c r="C30" s="33"/>
      <c r="D30" s="33"/>
      <c r="E30" s="33"/>
      <c r="F30" s="35"/>
      <c r="G30" s="33"/>
      <c r="H30" s="36"/>
      <c r="I30" s="36"/>
      <c r="J30" s="33"/>
      <c r="K30" s="36"/>
      <c r="L30" s="33"/>
      <c r="M30" s="33"/>
      <c r="N30" s="33"/>
      <c r="O30" s="33"/>
      <c r="P30" s="11" t="s">
        <v>129</v>
      </c>
      <c r="Q30" s="4">
        <v>22.86</v>
      </c>
      <c r="R30" s="4">
        <f>(I16/H16)*(AC16/60)</f>
        <v>0.17049019607843138</v>
      </c>
      <c r="S30" s="4">
        <f>U16*Q16/100</f>
        <v>72.96</v>
      </c>
      <c r="T30" s="4">
        <v>96.79</v>
      </c>
      <c r="U30" s="33"/>
      <c r="V30" s="33"/>
      <c r="W30" s="33"/>
      <c r="X30" s="33"/>
      <c r="Y30" s="85">
        <f>SUM(Y20,Y25)</f>
        <v>5</v>
      </c>
      <c r="Z30" s="85">
        <f>SUM(Z20,Z25)</f>
        <v>5</v>
      </c>
      <c r="AA30" s="85">
        <f aca="true" t="shared" si="0" ref="AA30:AF30">SUM(AA20,AA25)</f>
        <v>4</v>
      </c>
      <c r="AB30" s="85">
        <f t="shared" si="0"/>
        <v>7</v>
      </c>
      <c r="AC30" s="85">
        <f t="shared" si="0"/>
        <v>8</v>
      </c>
      <c r="AD30" s="85">
        <f t="shared" si="0"/>
        <v>6</v>
      </c>
      <c r="AE30" s="85">
        <f t="shared" si="0"/>
        <v>9</v>
      </c>
      <c r="AF30" s="85">
        <f t="shared" si="0"/>
        <v>0</v>
      </c>
      <c r="AG30" s="66" t="s">
        <v>152</v>
      </c>
      <c r="AH30" s="130" t="s">
        <v>158</v>
      </c>
      <c r="AI30" s="131"/>
    </row>
    <row r="31" spans="16:35" s="2" customFormat="1" ht="14.25">
      <c r="P31" s="11" t="s">
        <v>130</v>
      </c>
      <c r="Q31" s="90">
        <v>22.58</v>
      </c>
      <c r="R31" s="4">
        <f>(I17/H17)*(AC17/60)</f>
        <v>0.21604938271604937</v>
      </c>
      <c r="S31" s="4">
        <f>U17*Q17/100</f>
        <v>86.4</v>
      </c>
      <c r="T31" s="90">
        <v>97.4</v>
      </c>
      <c r="Y31" s="84">
        <f>SUM(Y21,Y26)</f>
        <v>1</v>
      </c>
      <c r="Z31" s="84">
        <f aca="true" t="shared" si="1" ref="Z31:AF31">SUM(Z21,Z26)</f>
        <v>1</v>
      </c>
      <c r="AA31" s="84">
        <f t="shared" si="1"/>
        <v>5</v>
      </c>
      <c r="AB31" s="84">
        <f t="shared" si="1"/>
        <v>1</v>
      </c>
      <c r="AC31" s="84">
        <f t="shared" si="1"/>
        <v>2</v>
      </c>
      <c r="AD31" s="84">
        <f t="shared" si="1"/>
        <v>1</v>
      </c>
      <c r="AE31" s="84">
        <f t="shared" si="1"/>
        <v>1</v>
      </c>
      <c r="AF31" s="84">
        <f t="shared" si="1"/>
        <v>2</v>
      </c>
      <c r="AG31" s="66" t="s">
        <v>153</v>
      </c>
      <c r="AH31" s="132"/>
      <c r="AI31" s="133"/>
    </row>
    <row r="32" spans="16:35" s="2" customFormat="1" ht="14.25">
      <c r="P32" s="11" t="s">
        <v>131</v>
      </c>
      <c r="Q32" s="90">
        <v>28.95</v>
      </c>
      <c r="R32" s="4">
        <f>(I18/H18)*(AC18/60)</f>
        <v>0.2403973509933775</v>
      </c>
      <c r="S32" s="4">
        <f>U18*Q18/100</f>
        <v>105.6</v>
      </c>
      <c r="T32" s="90">
        <v>73.74</v>
      </c>
      <c r="Y32" s="86">
        <f aca="true" t="shared" si="2" ref="Y32:AF33">SUM(Y22,Y27)</f>
        <v>1</v>
      </c>
      <c r="Z32" s="86">
        <f t="shared" si="2"/>
        <v>1</v>
      </c>
      <c r="AA32" s="86">
        <f t="shared" si="2"/>
        <v>0</v>
      </c>
      <c r="AB32" s="86">
        <f t="shared" si="2"/>
        <v>2</v>
      </c>
      <c r="AC32" s="86">
        <f t="shared" si="2"/>
        <v>0</v>
      </c>
      <c r="AD32" s="86">
        <f t="shared" si="2"/>
        <v>1</v>
      </c>
      <c r="AE32" s="86">
        <f t="shared" si="2"/>
        <v>0</v>
      </c>
      <c r="AF32" s="86">
        <f t="shared" si="2"/>
        <v>4</v>
      </c>
      <c r="AG32" s="66" t="s">
        <v>154</v>
      </c>
      <c r="AH32" s="132"/>
      <c r="AI32" s="133"/>
    </row>
    <row r="33" spans="25:35" s="2" customFormat="1" ht="14.25">
      <c r="Y33" s="83">
        <f t="shared" si="2"/>
        <v>3</v>
      </c>
      <c r="Z33" s="83">
        <f t="shared" si="2"/>
        <v>3</v>
      </c>
      <c r="AA33" s="83">
        <f t="shared" si="2"/>
        <v>1</v>
      </c>
      <c r="AB33" s="83">
        <f t="shared" si="2"/>
        <v>0</v>
      </c>
      <c r="AC33" s="83">
        <f t="shared" si="2"/>
        <v>0</v>
      </c>
      <c r="AD33" s="83">
        <f t="shared" si="2"/>
        <v>2</v>
      </c>
      <c r="AE33" s="83">
        <f t="shared" si="2"/>
        <v>0</v>
      </c>
      <c r="AF33" s="83">
        <f t="shared" si="2"/>
        <v>4</v>
      </c>
      <c r="AG33" s="66" t="s">
        <v>155</v>
      </c>
      <c r="AH33" s="134"/>
      <c r="AI33" s="135"/>
    </row>
    <row r="34" s="2" customFormat="1" ht="14.25"/>
    <row r="35" spans="25:35" s="2" customFormat="1" ht="14.25">
      <c r="Y35" s="82">
        <f>Y30*100/10</f>
        <v>50</v>
      </c>
      <c r="Z35" s="82">
        <f aca="true" t="shared" si="3" ref="Z35:AF35">Z30*100/10</f>
        <v>50</v>
      </c>
      <c r="AA35" s="82">
        <f t="shared" si="3"/>
        <v>40</v>
      </c>
      <c r="AB35" s="82">
        <f t="shared" si="3"/>
        <v>70</v>
      </c>
      <c r="AC35" s="82">
        <f t="shared" si="3"/>
        <v>80</v>
      </c>
      <c r="AD35" s="82">
        <f t="shared" si="3"/>
        <v>60</v>
      </c>
      <c r="AE35" s="82">
        <f t="shared" si="3"/>
        <v>90</v>
      </c>
      <c r="AF35" s="82">
        <f t="shared" si="3"/>
        <v>0</v>
      </c>
      <c r="AG35" s="66" t="s">
        <v>152</v>
      </c>
      <c r="AH35" s="130" t="s">
        <v>163</v>
      </c>
      <c r="AI35" s="131"/>
    </row>
    <row r="36" spans="25:35" s="2" customFormat="1" ht="14.25">
      <c r="Y36" s="82">
        <f>Y31*100/10</f>
        <v>10</v>
      </c>
      <c r="Z36" s="82">
        <f aca="true" t="shared" si="4" ref="Z36:AF36">Z31*100/10</f>
        <v>10</v>
      </c>
      <c r="AA36" s="82">
        <f t="shared" si="4"/>
        <v>50</v>
      </c>
      <c r="AB36" s="82">
        <f t="shared" si="4"/>
        <v>10</v>
      </c>
      <c r="AC36" s="82">
        <f t="shared" si="4"/>
        <v>20</v>
      </c>
      <c r="AD36" s="82">
        <f t="shared" si="4"/>
        <v>10</v>
      </c>
      <c r="AE36" s="82">
        <f t="shared" si="4"/>
        <v>10</v>
      </c>
      <c r="AF36" s="82">
        <f t="shared" si="4"/>
        <v>20</v>
      </c>
      <c r="AG36" s="66" t="s">
        <v>153</v>
      </c>
      <c r="AH36" s="132"/>
      <c r="AI36" s="133"/>
    </row>
    <row r="37" spans="25:35" s="2" customFormat="1" ht="14.25">
      <c r="Y37" s="82">
        <f>Y32*100/10</f>
        <v>10</v>
      </c>
      <c r="Z37" s="82">
        <f aca="true" t="shared" si="5" ref="Z37:AF37">Z32*100/10</f>
        <v>10</v>
      </c>
      <c r="AA37" s="82">
        <f t="shared" si="5"/>
        <v>0</v>
      </c>
      <c r="AB37" s="82">
        <f t="shared" si="5"/>
        <v>20</v>
      </c>
      <c r="AC37" s="82">
        <f t="shared" si="5"/>
        <v>0</v>
      </c>
      <c r="AD37" s="82">
        <f t="shared" si="5"/>
        <v>10</v>
      </c>
      <c r="AE37" s="82">
        <f t="shared" si="5"/>
        <v>0</v>
      </c>
      <c r="AF37" s="82">
        <f t="shared" si="5"/>
        <v>40</v>
      </c>
      <c r="AG37" s="66" t="s">
        <v>154</v>
      </c>
      <c r="AH37" s="132"/>
      <c r="AI37" s="133"/>
    </row>
    <row r="38" spans="25:35" s="2" customFormat="1" ht="14.25">
      <c r="Y38" s="82">
        <f>Y33*100/10</f>
        <v>30</v>
      </c>
      <c r="Z38" s="82">
        <f aca="true" t="shared" si="6" ref="Z38:AF38">Z33*100/10</f>
        <v>30</v>
      </c>
      <c r="AA38" s="82">
        <f t="shared" si="6"/>
        <v>10</v>
      </c>
      <c r="AB38" s="82">
        <f t="shared" si="6"/>
        <v>0</v>
      </c>
      <c r="AC38" s="82">
        <f t="shared" si="6"/>
        <v>0</v>
      </c>
      <c r="AD38" s="82">
        <f t="shared" si="6"/>
        <v>20</v>
      </c>
      <c r="AE38" s="82">
        <f t="shared" si="6"/>
        <v>0</v>
      </c>
      <c r="AF38" s="82">
        <f t="shared" si="6"/>
        <v>40</v>
      </c>
      <c r="AG38" s="66" t="s">
        <v>155</v>
      </c>
      <c r="AH38" s="134"/>
      <c r="AI38" s="135"/>
    </row>
    <row r="39" s="2" customFormat="1" ht="14.25"/>
    <row r="40" spans="25:35" s="2" customFormat="1" ht="14.25">
      <c r="Y40" s="82">
        <f>SUM(Y35:AF35)</f>
        <v>440</v>
      </c>
      <c r="AA40" s="129" t="s">
        <v>137</v>
      </c>
      <c r="AB40" s="129"/>
      <c r="AC40" s="129"/>
      <c r="AD40" s="129"/>
      <c r="AF40" s="82">
        <f>Y40*100/800</f>
        <v>55</v>
      </c>
      <c r="AG40" s="66" t="s">
        <v>152</v>
      </c>
      <c r="AH40" s="148" t="s">
        <v>166</v>
      </c>
      <c r="AI40" s="148"/>
    </row>
    <row r="41" spans="25:35" s="2" customFormat="1" ht="14.25">
      <c r="Y41" s="82">
        <f>SUM(Y36:AF36)</f>
        <v>140</v>
      </c>
      <c r="AA41" s="129"/>
      <c r="AB41" s="129"/>
      <c r="AC41" s="129"/>
      <c r="AD41" s="129"/>
      <c r="AF41" s="82">
        <f>Y41*100/800</f>
        <v>17.5</v>
      </c>
      <c r="AG41" s="66" t="s">
        <v>153</v>
      </c>
      <c r="AH41" s="148"/>
      <c r="AI41" s="148"/>
    </row>
    <row r="42" spans="25:35" s="2" customFormat="1" ht="14.25">
      <c r="Y42" s="82">
        <f>SUM(Y37:AF37)</f>
        <v>90</v>
      </c>
      <c r="AA42" s="129"/>
      <c r="AB42" s="129"/>
      <c r="AC42" s="129"/>
      <c r="AD42" s="129"/>
      <c r="AF42" s="82">
        <f>Y42*100/800</f>
        <v>11.25</v>
      </c>
      <c r="AG42" s="66" t="s">
        <v>154</v>
      </c>
      <c r="AH42" s="148"/>
      <c r="AI42" s="148"/>
    </row>
    <row r="43" spans="25:35" s="2" customFormat="1" ht="14.25">
      <c r="Y43" s="82">
        <f>SUM(Y38:AF38)</f>
        <v>130</v>
      </c>
      <c r="AA43" s="129"/>
      <c r="AB43" s="129"/>
      <c r="AC43" s="129"/>
      <c r="AD43" s="129"/>
      <c r="AF43" s="82">
        <f>Y43*100/800</f>
        <v>16.25</v>
      </c>
      <c r="AG43" s="66" t="s">
        <v>155</v>
      </c>
      <c r="AH43" s="148"/>
      <c r="AI43" s="148"/>
    </row>
    <row r="44" s="2" customFormat="1" ht="14.25"/>
    <row r="45" s="2" customFormat="1" ht="14.25"/>
  </sheetData>
  <sheetProtection/>
  <mergeCells count="34">
    <mergeCell ref="AH35:AI38"/>
    <mergeCell ref="AH40:AI43"/>
    <mergeCell ref="AE6:AF6"/>
    <mergeCell ref="AH20:AI23"/>
    <mergeCell ref="AH25:AI28"/>
    <mergeCell ref="AH6:AQ6"/>
    <mergeCell ref="AH8:AH10"/>
    <mergeCell ref="AH12:AH14"/>
    <mergeCell ref="Q5:X5"/>
    <mergeCell ref="Q6:R6"/>
    <mergeCell ref="S6:T6"/>
    <mergeCell ref="U6:X6"/>
    <mergeCell ref="AA40:AD43"/>
    <mergeCell ref="AH30:AI33"/>
    <mergeCell ref="Y5:AF5"/>
    <mergeCell ref="Z6:AA6"/>
    <mergeCell ref="Y6:Y7"/>
    <mergeCell ref="AB6:AD6"/>
    <mergeCell ref="B6:B7"/>
    <mergeCell ref="C6:C7"/>
    <mergeCell ref="D6:D7"/>
    <mergeCell ref="E6:E7"/>
    <mergeCell ref="F6:F7"/>
    <mergeCell ref="P5:P7"/>
    <mergeCell ref="B20:D20"/>
    <mergeCell ref="D24:D26"/>
    <mergeCell ref="G5:G7"/>
    <mergeCell ref="H5:O5"/>
    <mergeCell ref="H6:H7"/>
    <mergeCell ref="I6:I7"/>
    <mergeCell ref="J6:L6"/>
    <mergeCell ref="M6:N6"/>
    <mergeCell ref="A5:F5"/>
    <mergeCell ref="A6:A7"/>
  </mergeCells>
  <printOptions gridLines="1"/>
  <pageMargins left="0.75" right="0.75" top="1" bottom="1" header="0.5" footer="0.5"/>
  <pageSetup orientation="portrait" paperSize="9"/>
  <ignoredErrors>
    <ignoredError sqref="AC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Valued Acer Customer</cp:lastModifiedBy>
  <cp:lastPrinted>2008-11-28T06:00:36Z</cp:lastPrinted>
  <dcterms:created xsi:type="dcterms:W3CDTF">2008-11-07T19:05:34Z</dcterms:created>
  <dcterms:modified xsi:type="dcterms:W3CDTF">2010-08-02T17:51:43Z</dcterms:modified>
  <cp:category/>
  <cp:version/>
  <cp:contentType/>
  <cp:contentStatus/>
</cp:coreProperties>
</file>